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e Mihaela\Mihaela\Buget\Buget 2025\"/>
    </mc:Choice>
  </mc:AlternateContent>
  <xr:revisionPtr revIDLastSave="0" documentId="13_ncr:1_{0F4A4E79-DAF2-4B0C-A055-2435962D87FC}" xr6:coauthVersionLast="47" xr6:coauthVersionMax="47" xr10:uidLastSave="{00000000-0000-0000-0000-000000000000}"/>
  <bookViews>
    <workbookView xWindow="-120" yWindow="-120" windowWidth="29040" windowHeight="15840" tabRatio="831" firstSheet="10" activeTab="21" xr2:uid="{00000000-000D-0000-FFFF-FFFF00000000}"/>
  </bookViews>
  <sheets>
    <sheet name="February" sheetId="1" state="hidden" r:id="rId1"/>
    <sheet name="March" sheetId="2" state="hidden" r:id="rId2"/>
    <sheet name="April" sheetId="3" state="hidden" r:id="rId3"/>
    <sheet name="May" sheetId="4" state="hidden" r:id="rId4"/>
    <sheet name="June" sheetId="5" state="hidden" r:id="rId5"/>
    <sheet name="July" sheetId="6" state="hidden" r:id="rId6"/>
    <sheet name="August" sheetId="8" state="hidden" r:id="rId7"/>
    <sheet name="September" sheetId="9" state="hidden" r:id="rId8"/>
    <sheet name="October" sheetId="10" state="hidden" r:id="rId9"/>
    <sheet name="Januarie 2025" sheetId="66" r:id="rId10"/>
    <sheet name="Februarie 2025" sheetId="64" r:id="rId11"/>
    <sheet name="Martie 2025" sheetId="67" r:id="rId12"/>
    <sheet name="Aprilie 2025" sheetId="68" r:id="rId13"/>
    <sheet name="Mai 2025" sheetId="69" r:id="rId14"/>
    <sheet name="Iunie 2025" sheetId="70" r:id="rId15"/>
    <sheet name="Iulie 2025" sheetId="71" r:id="rId16"/>
    <sheet name="August 2025" sheetId="72" r:id="rId17"/>
    <sheet name="Septembrie 2025" sheetId="73" r:id="rId18"/>
    <sheet name="Octombrie 2025" sheetId="74" r:id="rId19"/>
    <sheet name="Noiembrie 2025" sheetId="75" r:id="rId20"/>
    <sheet name="Decembrie 2025" sheetId="76" r:id="rId21"/>
    <sheet name="Total Buget 2025" sheetId="77" r:id="rId22"/>
  </sheets>
  <definedNames>
    <definedName name="_xlnm._FilterDatabase" localSheetId="2" hidden="1">April!$A$133:$A$133</definedName>
    <definedName name="_xlnm._FilterDatabase" localSheetId="6" hidden="1">August!$A$202:$A$202</definedName>
    <definedName name="_xlnm._FilterDatabase" localSheetId="0" hidden="1">February!$A$110:$A$110</definedName>
    <definedName name="_xlnm._FilterDatabase" localSheetId="5" hidden="1">July!$A$197:$A$197</definedName>
    <definedName name="_xlnm._FilterDatabase" localSheetId="4" hidden="1">June!$A$194:$A$194</definedName>
    <definedName name="_xlnm._FilterDatabase" localSheetId="1" hidden="1">March!$A$128:$A$128</definedName>
    <definedName name="_xlnm._FilterDatabase" localSheetId="3" hidden="1">May!$A$140:$A$140</definedName>
    <definedName name="_xlnm._FilterDatabase" localSheetId="8" hidden="1">October!$A$201:$A$201</definedName>
    <definedName name="_xlnm._FilterDatabase" localSheetId="7" hidden="1">September!$A$201:$A$201</definedName>
    <definedName name="_xlnm.Print_Area" localSheetId="2">April!$A$1:$E$242</definedName>
    <definedName name="_xlnm.Print_Area" localSheetId="6">August!$A$1:$E$260</definedName>
    <definedName name="_xlnm.Print_Area" localSheetId="0">February!$A$91:$F$209</definedName>
    <definedName name="_xlnm.Print_Area" localSheetId="5">July!$A$1:$E$258</definedName>
    <definedName name="_xlnm.Print_Area" localSheetId="4">June!$A$1:$F$258</definedName>
    <definedName name="_xlnm.Print_Area" localSheetId="1">March!$A$1:$F$232</definedName>
    <definedName name="_xlnm.Print_Area" localSheetId="3">May!$A$1:$F$253</definedName>
    <definedName name="_xlnm.Print_Area" localSheetId="8">October!$A$1:$E$239</definedName>
    <definedName name="_xlnm.Print_Area" localSheetId="7">September!$A$1:$E$259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77" l="1"/>
  <c r="B13" i="67"/>
  <c r="B13" i="77" l="1"/>
  <c r="B11" i="77" l="1"/>
  <c r="B9" i="77"/>
  <c r="B7" i="77"/>
  <c r="B5" i="77"/>
  <c r="B3" i="77"/>
  <c r="B14" i="76"/>
  <c r="B14" i="75"/>
  <c r="B14" i="74"/>
  <c r="B14" i="73"/>
  <c r="B14" i="72"/>
  <c r="B14" i="71"/>
  <c r="B14" i="70"/>
  <c r="B14" i="69"/>
  <c r="B15" i="68"/>
  <c r="B15" i="67"/>
  <c r="B13" i="64"/>
  <c r="B13" i="66"/>
  <c r="B19" i="77" l="1"/>
  <c r="B21" i="77" s="1"/>
  <c r="E133" i="10"/>
  <c r="C12" i="10" s="1"/>
  <c r="C141" i="10"/>
  <c r="C21" i="10" s="1"/>
  <c r="K239" i="10"/>
  <c r="L238" i="10"/>
  <c r="L239" i="10" s="1"/>
  <c r="O239" i="10" s="1"/>
  <c r="F236" i="10"/>
  <c r="E236" i="10"/>
  <c r="D236" i="10"/>
  <c r="C236" i="10"/>
  <c r="B236" i="10"/>
  <c r="G158" i="10"/>
  <c r="G156" i="10"/>
  <c r="M238" i="10"/>
  <c r="M239" i="10" s="1"/>
  <c r="G152" i="10"/>
  <c r="G144" i="10"/>
  <c r="F139" i="10"/>
  <c r="D139" i="10"/>
  <c r="C139" i="10"/>
  <c r="B139" i="10"/>
  <c r="C109" i="10"/>
  <c r="C100" i="10" s="1"/>
  <c r="C111" i="10" s="1"/>
  <c r="B100" i="10"/>
  <c r="B111" i="10" s="1"/>
  <c r="C91" i="10"/>
  <c r="C90" i="10"/>
  <c r="B89" i="10"/>
  <c r="D88" i="10"/>
  <c r="B87" i="10"/>
  <c r="D87" i="10" s="1"/>
  <c r="C86" i="10"/>
  <c r="C85" i="10"/>
  <c r="C84" i="10"/>
  <c r="C83" i="10"/>
  <c r="C82" i="10"/>
  <c r="C81" i="10"/>
  <c r="B80" i="10"/>
  <c r="C78" i="10"/>
  <c r="C75" i="10" s="1"/>
  <c r="B75" i="10"/>
  <c r="C71" i="10"/>
  <c r="C70" i="10"/>
  <c r="C68" i="10"/>
  <c r="C67" i="10"/>
  <c r="C65" i="10"/>
  <c r="C62" i="10"/>
  <c r="C61" i="10"/>
  <c r="C60" i="10"/>
  <c r="C57" i="10"/>
  <c r="C55" i="10"/>
  <c r="C54" i="10"/>
  <c r="C53" i="10"/>
  <c r="C48" i="10"/>
  <c r="C47" i="10"/>
  <c r="C46" i="10"/>
  <c r="C44" i="10"/>
  <c r="C43" i="10"/>
  <c r="C42" i="10"/>
  <c r="C41" i="10"/>
  <c r="C40" i="10"/>
  <c r="C39" i="10"/>
  <c r="C38" i="10"/>
  <c r="C36" i="10"/>
  <c r="C35" i="10"/>
  <c r="C31" i="10"/>
  <c r="B30" i="10"/>
  <c r="C29" i="10"/>
  <c r="C27" i="10"/>
  <c r="C26" i="10" s="1"/>
  <c r="D26" i="10" s="1"/>
  <c r="C25" i="10"/>
  <c r="C22" i="10"/>
  <c r="B20" i="10"/>
  <c r="D19" i="10"/>
  <c r="C16" i="10"/>
  <c r="C15" i="10"/>
  <c r="C11" i="10"/>
  <c r="C10" i="10"/>
  <c r="B9" i="10"/>
  <c r="B156" i="9"/>
  <c r="C30" i="10" l="1"/>
  <c r="D30" i="10" s="1"/>
  <c r="E139" i="10"/>
  <c r="C20" i="10"/>
  <c r="D20" i="10" s="1"/>
  <c r="B73" i="10"/>
  <c r="C9" i="10"/>
  <c r="C89" i="10"/>
  <c r="D89" i="10" s="1"/>
  <c r="B238" i="10"/>
  <c r="B239" i="10" s="1"/>
  <c r="C14" i="10"/>
  <c r="D14" i="10" s="1"/>
  <c r="N239" i="10"/>
  <c r="C80" i="10"/>
  <c r="D80" i="10" s="1"/>
  <c r="D75" i="10"/>
  <c r="B93" i="10"/>
  <c r="D100" i="10"/>
  <c r="D111" i="10" s="1"/>
  <c r="F140" i="8"/>
  <c r="F257" i="8"/>
  <c r="K259" i="9"/>
  <c r="L258" i="9"/>
  <c r="L259" i="9" s="1"/>
  <c r="O259" i="9" s="1"/>
  <c r="E256" i="9"/>
  <c r="D256" i="9"/>
  <c r="C256" i="9"/>
  <c r="F256" i="9"/>
  <c r="G158" i="9"/>
  <c r="G156" i="9"/>
  <c r="M258" i="9"/>
  <c r="M259" i="9" s="1"/>
  <c r="G152" i="9"/>
  <c r="B256" i="9"/>
  <c r="G144" i="9"/>
  <c r="F139" i="9"/>
  <c r="D139" i="9"/>
  <c r="C139" i="9"/>
  <c r="B139" i="9"/>
  <c r="E139" i="9"/>
  <c r="C109" i="9"/>
  <c r="C100" i="9" s="1"/>
  <c r="C111" i="9" s="1"/>
  <c r="B100" i="9"/>
  <c r="B111" i="9" s="1"/>
  <c r="C91" i="9"/>
  <c r="C90" i="9"/>
  <c r="B89" i="9"/>
  <c r="D88" i="9"/>
  <c r="B87" i="9"/>
  <c r="D87" i="9" s="1"/>
  <c r="C86" i="9"/>
  <c r="C85" i="9"/>
  <c r="C84" i="9"/>
  <c r="C83" i="9"/>
  <c r="C82" i="9"/>
  <c r="C81" i="9"/>
  <c r="B80" i="9"/>
  <c r="C78" i="9"/>
  <c r="C75" i="9" s="1"/>
  <c r="B75" i="9"/>
  <c r="C71" i="9"/>
  <c r="C70" i="9"/>
  <c r="C68" i="9"/>
  <c r="C67" i="9"/>
  <c r="C65" i="9"/>
  <c r="C62" i="9"/>
  <c r="C61" i="9"/>
  <c r="C60" i="9"/>
  <c r="C57" i="9"/>
  <c r="C55" i="9"/>
  <c r="C54" i="9"/>
  <c r="C53" i="9"/>
  <c r="C48" i="9"/>
  <c r="C47" i="9"/>
  <c r="C46" i="9"/>
  <c r="C44" i="9"/>
  <c r="C43" i="9"/>
  <c r="C42" i="9"/>
  <c r="C41" i="9"/>
  <c r="C40" i="9"/>
  <c r="C39" i="9"/>
  <c r="C38" i="9"/>
  <c r="C36" i="9"/>
  <c r="C35" i="9"/>
  <c r="C31" i="9"/>
  <c r="B30" i="9"/>
  <c r="C29" i="9"/>
  <c r="C27" i="9"/>
  <c r="C26" i="9" s="1"/>
  <c r="D26" i="9" s="1"/>
  <c r="C25" i="9"/>
  <c r="C22" i="9"/>
  <c r="C21" i="9"/>
  <c r="B20" i="9"/>
  <c r="D19" i="9"/>
  <c r="C16" i="9"/>
  <c r="C15" i="9"/>
  <c r="C12" i="9"/>
  <c r="C11" i="9"/>
  <c r="C10" i="9"/>
  <c r="B9" i="9"/>
  <c r="E138" i="8"/>
  <c r="B73" i="9" l="1"/>
  <c r="C73" i="10"/>
  <c r="D9" i="10"/>
  <c r="D73" i="10" s="1"/>
  <c r="B95" i="10"/>
  <c r="B113" i="10" s="1"/>
  <c r="C121" i="10"/>
  <c r="C238" i="10" s="1"/>
  <c r="D121" i="10" s="1"/>
  <c r="D238" i="10" s="1"/>
  <c r="D93" i="10"/>
  <c r="C93" i="10"/>
  <c r="C20" i="9"/>
  <c r="D20" i="9" s="1"/>
  <c r="C89" i="9"/>
  <c r="D89" i="9" s="1"/>
  <c r="C9" i="9"/>
  <c r="D9" i="9" s="1"/>
  <c r="C80" i="9"/>
  <c r="D80" i="9" s="1"/>
  <c r="C14" i="9"/>
  <c r="D14" i="9" s="1"/>
  <c r="C30" i="9"/>
  <c r="D30" i="9" s="1"/>
  <c r="N259" i="9"/>
  <c r="B93" i="9"/>
  <c r="D100" i="9"/>
  <c r="D111" i="9" s="1"/>
  <c r="D75" i="9"/>
  <c r="C95" i="10" l="1"/>
  <c r="C113" i="10" s="1"/>
  <c r="B95" i="9"/>
  <c r="B113" i="9" s="1"/>
  <c r="C239" i="10"/>
  <c r="D95" i="10"/>
  <c r="D113" i="10" s="1"/>
  <c r="D239" i="10"/>
  <c r="E121" i="10"/>
  <c r="E238" i="10" s="1"/>
  <c r="D93" i="9"/>
  <c r="C93" i="9"/>
  <c r="D73" i="9"/>
  <c r="C73" i="9"/>
  <c r="B157" i="8"/>
  <c r="B149" i="8"/>
  <c r="K260" i="8"/>
  <c r="L259" i="8"/>
  <c r="L260" i="8" s="1"/>
  <c r="O260" i="8" s="1"/>
  <c r="G159" i="8"/>
  <c r="G153" i="8"/>
  <c r="G145" i="8"/>
  <c r="E257" i="8"/>
  <c r="E140" i="8"/>
  <c r="B140" i="8"/>
  <c r="D140" i="8"/>
  <c r="C140" i="8"/>
  <c r="C109" i="8"/>
  <c r="C100" i="8" s="1"/>
  <c r="B100" i="8"/>
  <c r="B111" i="8" s="1"/>
  <c r="C91" i="8"/>
  <c r="C90" i="8"/>
  <c r="B89" i="8"/>
  <c r="D88" i="8"/>
  <c r="B87" i="8"/>
  <c r="D87" i="8" s="1"/>
  <c r="C86" i="8"/>
  <c r="C85" i="8"/>
  <c r="C84" i="8"/>
  <c r="C83" i="8"/>
  <c r="C82" i="8"/>
  <c r="C81" i="8"/>
  <c r="B80" i="8"/>
  <c r="C78" i="8"/>
  <c r="C75" i="8" s="1"/>
  <c r="B75" i="8"/>
  <c r="C71" i="8"/>
  <c r="C70" i="8"/>
  <c r="C68" i="8"/>
  <c r="C67" i="8"/>
  <c r="C65" i="8"/>
  <c r="C62" i="8"/>
  <c r="C61" i="8"/>
  <c r="C60" i="8"/>
  <c r="C57" i="8"/>
  <c r="C55" i="8"/>
  <c r="C54" i="8"/>
  <c r="C53" i="8"/>
  <c r="C48" i="8"/>
  <c r="C47" i="8"/>
  <c r="C46" i="8"/>
  <c r="C44" i="8"/>
  <c r="C43" i="8"/>
  <c r="C42" i="8"/>
  <c r="C41" i="8"/>
  <c r="C40" i="8"/>
  <c r="C39" i="8"/>
  <c r="C38" i="8"/>
  <c r="C36" i="8"/>
  <c r="C35" i="8"/>
  <c r="C31" i="8"/>
  <c r="B30" i="8"/>
  <c r="C29" i="8"/>
  <c r="C27" i="8"/>
  <c r="C26" i="8" s="1"/>
  <c r="D26" i="8" s="1"/>
  <c r="C25" i="8"/>
  <c r="C22" i="8"/>
  <c r="C21" i="8"/>
  <c r="B20" i="8"/>
  <c r="D19" i="8"/>
  <c r="C16" i="8"/>
  <c r="C15" i="8"/>
  <c r="C12" i="8"/>
  <c r="C11" i="8"/>
  <c r="C10" i="8"/>
  <c r="B9" i="8"/>
  <c r="E177" i="6"/>
  <c r="E176" i="6"/>
  <c r="E167" i="6"/>
  <c r="D133" i="6"/>
  <c r="C133" i="6"/>
  <c r="C95" i="9" l="1"/>
  <c r="C113" i="9" s="1"/>
  <c r="D95" i="9"/>
  <c r="D113" i="9" s="1"/>
  <c r="E239" i="10"/>
  <c r="F121" i="10"/>
  <c r="F238" i="10" s="1"/>
  <c r="F239" i="10" s="1"/>
  <c r="B257" i="8"/>
  <c r="B259" i="8" s="1"/>
  <c r="B260" i="8" s="1"/>
  <c r="C30" i="8"/>
  <c r="D30" i="8" s="1"/>
  <c r="B93" i="8"/>
  <c r="M259" i="8"/>
  <c r="M260" i="8" s="1"/>
  <c r="B73" i="8"/>
  <c r="C14" i="8"/>
  <c r="D14" i="8" s="1"/>
  <c r="D100" i="8"/>
  <c r="D111" i="8" s="1"/>
  <c r="D257" i="8"/>
  <c r="C20" i="8"/>
  <c r="D20" i="8" s="1"/>
  <c r="C9" i="8"/>
  <c r="C80" i="8"/>
  <c r="D80" i="8" s="1"/>
  <c r="C89" i="8"/>
  <c r="D89" i="8" s="1"/>
  <c r="N260" i="8"/>
  <c r="D75" i="8"/>
  <c r="C111" i="8"/>
  <c r="G157" i="8"/>
  <c r="C257" i="8"/>
  <c r="E140" i="6"/>
  <c r="B95" i="8" l="1"/>
  <c r="B113" i="8" s="1"/>
  <c r="D93" i="8"/>
  <c r="C73" i="8"/>
  <c r="D9" i="8"/>
  <c r="D73" i="8" s="1"/>
  <c r="C121" i="8"/>
  <c r="C259" i="8" s="1"/>
  <c r="C93" i="8"/>
  <c r="C171" i="6"/>
  <c r="B170" i="6"/>
  <c r="B165" i="6"/>
  <c r="B155" i="6"/>
  <c r="D155" i="6"/>
  <c r="F168" i="5"/>
  <c r="D95" i="8" l="1"/>
  <c r="D113" i="8" s="1"/>
  <c r="C95" i="8"/>
  <c r="C113" i="8" s="1"/>
  <c r="C260" i="8"/>
  <c r="D121" i="8"/>
  <c r="D259" i="8" s="1"/>
  <c r="D136" i="5"/>
  <c r="E121" i="8" l="1"/>
  <c r="E259" i="8" s="1"/>
  <c r="F121" i="8" s="1"/>
  <c r="F259" i="8" s="1"/>
  <c r="D260" i="8"/>
  <c r="C139" i="5"/>
  <c r="J258" i="6"/>
  <c r="K257" i="6"/>
  <c r="K258" i="6" s="1"/>
  <c r="N258" i="6" s="1"/>
  <c r="E255" i="6"/>
  <c r="D255" i="6"/>
  <c r="F155" i="6"/>
  <c r="F151" i="6"/>
  <c r="F143" i="6"/>
  <c r="C140" i="6"/>
  <c r="L257" i="6" s="1"/>
  <c r="L258" i="6" s="1"/>
  <c r="E138" i="6"/>
  <c r="D138" i="6"/>
  <c r="C138" i="6"/>
  <c r="B138" i="6"/>
  <c r="C109" i="6"/>
  <c r="C100" i="6" s="1"/>
  <c r="C111" i="6" s="1"/>
  <c r="B100" i="6"/>
  <c r="B111" i="6" s="1"/>
  <c r="C91" i="6"/>
  <c r="C90" i="6"/>
  <c r="B89" i="6"/>
  <c r="D88" i="6"/>
  <c r="B87" i="6"/>
  <c r="D87" i="6" s="1"/>
  <c r="C86" i="6"/>
  <c r="C85" i="6"/>
  <c r="C84" i="6"/>
  <c r="C83" i="6"/>
  <c r="C82" i="6"/>
  <c r="C81" i="6"/>
  <c r="B80" i="6"/>
  <c r="C78" i="6"/>
  <c r="C75" i="6" s="1"/>
  <c r="B75" i="6"/>
  <c r="C71" i="6"/>
  <c r="C70" i="6"/>
  <c r="C68" i="6"/>
  <c r="C67" i="6"/>
  <c r="C65" i="6"/>
  <c r="C62" i="6"/>
  <c r="C61" i="6"/>
  <c r="C60" i="6"/>
  <c r="C57" i="6"/>
  <c r="C55" i="6"/>
  <c r="C54" i="6"/>
  <c r="C53" i="6"/>
  <c r="C48" i="6"/>
  <c r="C47" i="6"/>
  <c r="C46" i="6"/>
  <c r="C44" i="6"/>
  <c r="C43" i="6"/>
  <c r="C42" i="6"/>
  <c r="C41" i="6"/>
  <c r="C40" i="6"/>
  <c r="C39" i="6"/>
  <c r="C38" i="6"/>
  <c r="C36" i="6"/>
  <c r="C35" i="6"/>
  <c r="C31" i="6"/>
  <c r="B30" i="6"/>
  <c r="C29" i="6"/>
  <c r="C27" i="6"/>
  <c r="C26" i="6" s="1"/>
  <c r="D26" i="6" s="1"/>
  <c r="C25" i="6"/>
  <c r="C22" i="6"/>
  <c r="B20" i="6"/>
  <c r="D19" i="6"/>
  <c r="C16" i="6"/>
  <c r="C15" i="6"/>
  <c r="C12" i="6"/>
  <c r="C11" i="6"/>
  <c r="C10" i="6"/>
  <c r="B9" i="6"/>
  <c r="F260" i="8" l="1"/>
  <c r="B121" i="9"/>
  <c r="B258" i="9" s="1"/>
  <c r="E260" i="8"/>
  <c r="B93" i="6"/>
  <c r="C89" i="6"/>
  <c r="D89" i="6" s="1"/>
  <c r="B73" i="6"/>
  <c r="C30" i="6"/>
  <c r="D30" i="6" s="1"/>
  <c r="C9" i="6"/>
  <c r="D9" i="6" s="1"/>
  <c r="C80" i="6"/>
  <c r="D80" i="6" s="1"/>
  <c r="C14" i="6"/>
  <c r="D14" i="6" s="1"/>
  <c r="C21" i="6"/>
  <c r="C20" i="6" s="1"/>
  <c r="D20" i="6" s="1"/>
  <c r="B255" i="6"/>
  <c r="B257" i="6" s="1"/>
  <c r="M258" i="6"/>
  <c r="D100" i="6"/>
  <c r="D111" i="6" s="1"/>
  <c r="C255" i="6"/>
  <c r="D75" i="6"/>
  <c r="F157" i="6"/>
  <c r="D142" i="5"/>
  <c r="E166" i="5"/>
  <c r="D179" i="5"/>
  <c r="B95" i="6" l="1"/>
  <c r="B113" i="6" s="1"/>
  <c r="B259" i="9"/>
  <c r="C121" i="9"/>
  <c r="C258" i="9" s="1"/>
  <c r="D93" i="6"/>
  <c r="C93" i="6"/>
  <c r="C121" i="6"/>
  <c r="B258" i="6"/>
  <c r="C73" i="6"/>
  <c r="D73" i="6"/>
  <c r="C257" i="6"/>
  <c r="D36" i="5"/>
  <c r="D35" i="5"/>
  <c r="D31" i="5"/>
  <c r="D16" i="5"/>
  <c r="C259" i="9" l="1"/>
  <c r="D121" i="9"/>
  <c r="D258" i="9" s="1"/>
  <c r="D95" i="6"/>
  <c r="D113" i="6" s="1"/>
  <c r="C95" i="6"/>
  <c r="C113" i="6" s="1"/>
  <c r="D121" i="6"/>
  <c r="D257" i="6" s="1"/>
  <c r="C258" i="6"/>
  <c r="C180" i="5"/>
  <c r="D259" i="9" l="1"/>
  <c r="E121" i="9"/>
  <c r="E258" i="9" s="1"/>
  <c r="D258" i="6"/>
  <c r="E121" i="6"/>
  <c r="E257" i="6" s="1"/>
  <c r="E258" i="6" s="1"/>
  <c r="D154" i="5"/>
  <c r="F121" i="9" l="1"/>
  <c r="F258" i="9" s="1"/>
  <c r="F259" i="9" s="1"/>
  <c r="E259" i="9"/>
  <c r="D46" i="5"/>
  <c r="C159" i="5"/>
  <c r="D167" i="5"/>
  <c r="D255" i="5" s="1"/>
  <c r="C172" i="5"/>
  <c r="K258" i="5"/>
  <c r="L257" i="5"/>
  <c r="L258" i="5" s="1"/>
  <c r="E255" i="5"/>
  <c r="G157" i="5"/>
  <c r="G153" i="5"/>
  <c r="G145" i="5"/>
  <c r="D139" i="5"/>
  <c r="E139" i="5"/>
  <c r="D109" i="5"/>
  <c r="D100" i="5" s="1"/>
  <c r="C100" i="5"/>
  <c r="C111" i="5" s="1"/>
  <c r="D91" i="5"/>
  <c r="D90" i="5"/>
  <c r="C89" i="5"/>
  <c r="E88" i="5"/>
  <c r="C87" i="5"/>
  <c r="E87" i="5" s="1"/>
  <c r="D86" i="5"/>
  <c r="D85" i="5"/>
  <c r="D84" i="5"/>
  <c r="D83" i="5"/>
  <c r="D82" i="5"/>
  <c r="D81" i="5"/>
  <c r="C80" i="5"/>
  <c r="D78" i="5"/>
  <c r="D75" i="5" s="1"/>
  <c r="C75" i="5"/>
  <c r="D71" i="5"/>
  <c r="D70" i="5"/>
  <c r="D68" i="5"/>
  <c r="D67" i="5"/>
  <c r="D65" i="5"/>
  <c r="D62" i="5"/>
  <c r="D61" i="5"/>
  <c r="D60" i="5"/>
  <c r="D57" i="5"/>
  <c r="D55" i="5"/>
  <c r="D54" i="5"/>
  <c r="D53" i="5"/>
  <c r="D48" i="5"/>
  <c r="D47" i="5"/>
  <c r="D44" i="5"/>
  <c r="D42" i="5"/>
  <c r="D41" i="5"/>
  <c r="D40" i="5"/>
  <c r="D39" i="5"/>
  <c r="D38" i="5"/>
  <c r="C30" i="5"/>
  <c r="D29" i="5"/>
  <c r="D27" i="5"/>
  <c r="D25" i="5"/>
  <c r="D22" i="5"/>
  <c r="D21" i="5"/>
  <c r="C20" i="5"/>
  <c r="E19" i="5"/>
  <c r="D15" i="5"/>
  <c r="D11" i="5"/>
  <c r="D10" i="5"/>
  <c r="C9" i="5"/>
  <c r="D43" i="5" l="1"/>
  <c r="C255" i="5"/>
  <c r="D80" i="5"/>
  <c r="E80" i="5" s="1"/>
  <c r="D12" i="5"/>
  <c r="D9" i="5" s="1"/>
  <c r="E9" i="5" s="1"/>
  <c r="D14" i="5"/>
  <c r="E14" i="5" s="1"/>
  <c r="D26" i="5"/>
  <c r="E26" i="5" s="1"/>
  <c r="C93" i="5"/>
  <c r="D89" i="5"/>
  <c r="E89" i="5" s="1"/>
  <c r="D20" i="5"/>
  <c r="E20" i="5" s="1"/>
  <c r="M257" i="5"/>
  <c r="M258" i="5" s="1"/>
  <c r="O258" i="5" s="1"/>
  <c r="G159" i="5"/>
  <c r="D30" i="5"/>
  <c r="E30" i="5" s="1"/>
  <c r="N258" i="5"/>
  <c r="C73" i="5"/>
  <c r="E100" i="5"/>
  <c r="E111" i="5" s="1"/>
  <c r="E75" i="5"/>
  <c r="D111" i="5"/>
  <c r="F139" i="5"/>
  <c r="F255" i="5"/>
  <c r="F181" i="4"/>
  <c r="E133" i="4"/>
  <c r="C95" i="5" l="1"/>
  <c r="C113" i="5" s="1"/>
  <c r="D93" i="5"/>
  <c r="E93" i="5"/>
  <c r="E73" i="5"/>
  <c r="D73" i="5"/>
  <c r="D95" i="5" l="1"/>
  <c r="D113" i="5" s="1"/>
  <c r="E95" i="5"/>
  <c r="E113" i="5" s="1"/>
  <c r="E165" i="4"/>
  <c r="E250" i="4" s="1"/>
  <c r="D133" i="4" l="1"/>
  <c r="D250" i="4" l="1"/>
  <c r="B250" i="4"/>
  <c r="C165" i="4"/>
  <c r="C250" i="4" s="1"/>
  <c r="C12" i="4"/>
  <c r="M252" i="4" l="1"/>
  <c r="L252" i="4"/>
  <c r="B100" i="4"/>
  <c r="B89" i="4"/>
  <c r="B87" i="4"/>
  <c r="B80" i="4"/>
  <c r="B75" i="4"/>
  <c r="B30" i="4"/>
  <c r="B20" i="4"/>
  <c r="B9" i="4"/>
  <c r="C85" i="4" l="1"/>
  <c r="C11" i="4"/>
  <c r="C22" i="4"/>
  <c r="C91" i="4"/>
  <c r="C90" i="4"/>
  <c r="C78" i="4"/>
  <c r="C109" i="4"/>
  <c r="C86" i="4"/>
  <c r="C82" i="4"/>
  <c r="C81" i="4"/>
  <c r="C67" i="4"/>
  <c r="C68" i="4"/>
  <c r="C71" i="4"/>
  <c r="C70" i="4"/>
  <c r="C65" i="4"/>
  <c r="C62" i="4"/>
  <c r="C61" i="4"/>
  <c r="C60" i="4"/>
  <c r="C57" i="4"/>
  <c r="C55" i="4"/>
  <c r="C54" i="4"/>
  <c r="C53" i="4"/>
  <c r="C48" i="4"/>
  <c r="C47" i="4"/>
  <c r="C46" i="4"/>
  <c r="C44" i="4"/>
  <c r="C43" i="4"/>
  <c r="C42" i="4"/>
  <c r="C41" i="4"/>
  <c r="C40" i="4"/>
  <c r="C39" i="4"/>
  <c r="C36" i="4"/>
  <c r="C35" i="4"/>
  <c r="C33" i="4"/>
  <c r="C32" i="4"/>
  <c r="C31" i="4"/>
  <c r="C29" i="4"/>
  <c r="C27" i="4"/>
  <c r="C15" i="4"/>
  <c r="C10" i="4"/>
  <c r="C89" i="4" l="1"/>
  <c r="C9" i="4"/>
  <c r="E138" i="4" l="1"/>
  <c r="K253" i="4"/>
  <c r="L253" i="4"/>
  <c r="G165" i="4"/>
  <c r="F250" i="4"/>
  <c r="G157" i="4"/>
  <c r="G144" i="4"/>
  <c r="M253" i="4"/>
  <c r="F138" i="4"/>
  <c r="D138" i="4"/>
  <c r="C138" i="4"/>
  <c r="B138" i="4"/>
  <c r="C100" i="4"/>
  <c r="B111" i="4"/>
  <c r="D88" i="4"/>
  <c r="D87" i="4"/>
  <c r="C84" i="4"/>
  <c r="C83" i="4"/>
  <c r="C75" i="4"/>
  <c r="B93" i="4"/>
  <c r="C38" i="4"/>
  <c r="C30" i="4" s="1"/>
  <c r="C25" i="4"/>
  <c r="C21" i="4"/>
  <c r="D19" i="4"/>
  <c r="C20" i="4" l="1"/>
  <c r="D20" i="4" s="1"/>
  <c r="C80" i="4"/>
  <c r="D80" i="4" s="1"/>
  <c r="B73" i="4"/>
  <c r="B95" i="4" s="1"/>
  <c r="B113" i="4" s="1"/>
  <c r="D100" i="4"/>
  <c r="D111" i="4" s="1"/>
  <c r="D9" i="4"/>
  <c r="D30" i="4"/>
  <c r="G161" i="4"/>
  <c r="D89" i="4"/>
  <c r="N253" i="4"/>
  <c r="O253" i="4"/>
  <c r="D75" i="4"/>
  <c r="C111" i="4"/>
  <c r="B252" i="4"/>
  <c r="C16" i="4"/>
  <c r="C14" i="4" s="1"/>
  <c r="D14" i="4" s="1"/>
  <c r="C26" i="4"/>
  <c r="D26" i="4" s="1"/>
  <c r="B129" i="3"/>
  <c r="C78" i="3" s="1"/>
  <c r="C134" i="3"/>
  <c r="C239" i="3" s="1"/>
  <c r="D73" i="4" l="1"/>
  <c r="C93" i="4"/>
  <c r="D93" i="4"/>
  <c r="B253" i="4"/>
  <c r="C121" i="4"/>
  <c r="C252" i="4" s="1"/>
  <c r="C73" i="4"/>
  <c r="B114" i="3"/>
  <c r="C114" i="3" s="1"/>
  <c r="D114" i="3" s="1"/>
  <c r="B115" i="3" l="1"/>
  <c r="C95" i="4"/>
  <c r="C113" i="4" s="1"/>
  <c r="D95" i="4"/>
  <c r="D113" i="4" s="1"/>
  <c r="C253" i="4"/>
  <c r="D121" i="4"/>
  <c r="D252" i="4" s="1"/>
  <c r="E121" i="4" s="1"/>
  <c r="E252" i="4" s="1"/>
  <c r="C76" i="3"/>
  <c r="E253" i="4" l="1"/>
  <c r="F121" i="4"/>
  <c r="F252" i="4" s="1"/>
  <c r="D253" i="4"/>
  <c r="E154" i="3"/>
  <c r="F253" i="4" l="1"/>
  <c r="C257" i="5"/>
  <c r="E239" i="3"/>
  <c r="K241" i="3"/>
  <c r="C258" i="5" l="1"/>
  <c r="D121" i="5"/>
  <c r="D257" i="5" s="1"/>
  <c r="D258" i="5" s="1"/>
  <c r="B28" i="3"/>
  <c r="C65" i="3"/>
  <c r="C59" i="3"/>
  <c r="C77" i="3"/>
  <c r="C63" i="3"/>
  <c r="C51" i="3"/>
  <c r="C34" i="3"/>
  <c r="C46" i="3"/>
  <c r="C55" i="3"/>
  <c r="C53" i="3"/>
  <c r="C52" i="3"/>
  <c r="C39" i="3"/>
  <c r="C38" i="3"/>
  <c r="C41" i="3"/>
  <c r="C40" i="3"/>
  <c r="C102" i="3"/>
  <c r="C42" i="3"/>
  <c r="C62" i="3"/>
  <c r="C37" i="3"/>
  <c r="C45" i="3"/>
  <c r="C44" i="3"/>
  <c r="C36" i="3"/>
  <c r="C33" i="3"/>
  <c r="C58" i="3"/>
  <c r="C30" i="3"/>
  <c r="C60" i="3"/>
  <c r="C29" i="3"/>
  <c r="C27" i="3"/>
  <c r="C23" i="3"/>
  <c r="C20" i="3"/>
  <c r="C19" i="3"/>
  <c r="C10" i="3"/>
  <c r="B12" i="3"/>
  <c r="E121" i="5" l="1"/>
  <c r="E257" i="5" s="1"/>
  <c r="E258" i="5" l="1"/>
  <c r="F121" i="5"/>
  <c r="F257" i="5" s="1"/>
  <c r="F258" i="5" s="1"/>
  <c r="E114" i="3"/>
  <c r="B154" i="3"/>
  <c r="C25" i="3" l="1"/>
  <c r="C75" i="3"/>
  <c r="C79" i="3"/>
  <c r="C14" i="3"/>
  <c r="C13" i="3"/>
  <c r="C83" i="3"/>
  <c r="B9" i="3"/>
  <c r="B18" i="3"/>
  <c r="B70" i="3"/>
  <c r="B74" i="3"/>
  <c r="B80" i="3"/>
  <c r="B82" i="3"/>
  <c r="B93" i="3"/>
  <c r="C131" i="3" l="1"/>
  <c r="B158" i="3" l="1"/>
  <c r="C66" i="3" l="1"/>
  <c r="C28" i="3" s="1"/>
  <c r="L241" i="3"/>
  <c r="L242" i="3" s="1"/>
  <c r="B239" i="3"/>
  <c r="C84" i="3"/>
  <c r="C82" i="3" s="1"/>
  <c r="C9" i="3"/>
  <c r="J242" i="3"/>
  <c r="D239" i="3"/>
  <c r="F158" i="3"/>
  <c r="F150" i="3"/>
  <c r="F137" i="3"/>
  <c r="E131" i="3"/>
  <c r="B131" i="3"/>
  <c r="D131" i="3"/>
  <c r="C93" i="3"/>
  <c r="B104" i="3"/>
  <c r="D81" i="3"/>
  <c r="D80" i="3"/>
  <c r="C74" i="3"/>
  <c r="C70" i="3"/>
  <c r="C24" i="3"/>
  <c r="C18" i="3"/>
  <c r="D17" i="3"/>
  <c r="C12" i="3"/>
  <c r="B68" i="3" l="1"/>
  <c r="D82" i="3"/>
  <c r="C68" i="3"/>
  <c r="C104" i="3"/>
  <c r="B86" i="3"/>
  <c r="B241" i="3"/>
  <c r="C115" i="3" s="1"/>
  <c r="D9" i="3"/>
  <c r="D12" i="3"/>
  <c r="D18" i="3"/>
  <c r="D24" i="3"/>
  <c r="D28" i="3"/>
  <c r="D70" i="3"/>
  <c r="D74" i="3"/>
  <c r="C86" i="3"/>
  <c r="D93" i="3"/>
  <c r="D104" i="3" s="1"/>
  <c r="F154" i="3"/>
  <c r="K242" i="3"/>
  <c r="N242" i="3" s="1"/>
  <c r="C34" i="2"/>
  <c r="C39" i="2"/>
  <c r="F137" i="2"/>
  <c r="C13" i="2"/>
  <c r="F112" i="2"/>
  <c r="B88" i="3" l="1"/>
  <c r="B106" i="3" s="1"/>
  <c r="C88" i="3"/>
  <c r="C106" i="3" s="1"/>
  <c r="D86" i="3"/>
  <c r="D68" i="3"/>
  <c r="M242" i="3"/>
  <c r="C241" i="3"/>
  <c r="B242" i="3"/>
  <c r="B131" i="2"/>
  <c r="D88" i="3" l="1"/>
  <c r="D106" i="3" s="1"/>
  <c r="C242" i="3"/>
  <c r="D115" i="3"/>
  <c r="D241" i="3" s="1"/>
  <c r="C62" i="2"/>
  <c r="B118" i="2"/>
  <c r="C87" i="2" s="1"/>
  <c r="E115" i="3" l="1"/>
  <c r="E241" i="3" s="1"/>
  <c r="D242" i="3"/>
  <c r="D112" i="2"/>
  <c r="E242" i="3" l="1"/>
  <c r="C10" i="2"/>
  <c r="C73" i="2" l="1"/>
  <c r="H17" i="2" l="1"/>
  <c r="H76" i="2"/>
  <c r="F27" i="2" l="1"/>
  <c r="F24" i="2" s="1"/>
  <c r="F36" i="2"/>
  <c r="F33" i="2"/>
  <c r="F98" i="2"/>
  <c r="F96" i="2"/>
  <c r="F95" i="2"/>
  <c r="F94" i="2"/>
  <c r="F91" i="2"/>
  <c r="F90" i="2"/>
  <c r="F18" i="2"/>
  <c r="F12" i="2"/>
  <c r="F89" i="2" l="1"/>
  <c r="F28" i="2"/>
  <c r="C77" i="2"/>
  <c r="H77" i="2" s="1"/>
  <c r="F178" i="2"/>
  <c r="F102" i="2" l="1"/>
  <c r="C59" i="2"/>
  <c r="C60" i="2"/>
  <c r="C56" i="2"/>
  <c r="C47" i="2"/>
  <c r="C43" i="2"/>
  <c r="L231" i="2" l="1"/>
  <c r="K231" i="2"/>
  <c r="C21" i="2"/>
  <c r="C20" i="2"/>
  <c r="C26" i="2"/>
  <c r="C57" i="2"/>
  <c r="C80" i="2"/>
  <c r="C78" i="2" s="1"/>
  <c r="C58" i="2"/>
  <c r="C54" i="2"/>
  <c r="C51" i="2"/>
  <c r="C31" i="2"/>
  <c r="C50" i="2"/>
  <c r="C29" i="2"/>
  <c r="C41" i="2"/>
  <c r="C40" i="2"/>
  <c r="C63" i="2"/>
  <c r="C49" i="2"/>
  <c r="C48" i="2"/>
  <c r="C46" i="2"/>
  <c r="C55" i="2"/>
  <c r="C23" i="2"/>
  <c r="C38" i="2"/>
  <c r="C61" i="2"/>
  <c r="C53" i="2"/>
  <c r="C52" i="2"/>
  <c r="C36" i="2"/>
  <c r="C33" i="2"/>
  <c r="C25" i="2"/>
  <c r="C149" i="2"/>
  <c r="M231" i="2" s="1"/>
  <c r="C96" i="2"/>
  <c r="C45" i="2"/>
  <c r="C90" i="2"/>
  <c r="B89" i="2"/>
  <c r="C95" i="2"/>
  <c r="C30" i="2"/>
  <c r="C91" i="2"/>
  <c r="C98" i="2"/>
  <c r="C44" i="2"/>
  <c r="C94" i="2"/>
  <c r="C27" i="2"/>
  <c r="C19" i="2"/>
  <c r="C14" i="2"/>
  <c r="C12" i="2" s="1"/>
  <c r="H12" i="2" s="1"/>
  <c r="C71" i="2"/>
  <c r="H71" i="2" s="1"/>
  <c r="B78" i="2"/>
  <c r="B77" i="2"/>
  <c r="I77" i="2" s="1"/>
  <c r="B76" i="2"/>
  <c r="I76" i="2" s="1"/>
  <c r="B71" i="2"/>
  <c r="B67" i="2"/>
  <c r="B24" i="2"/>
  <c r="B28" i="2" s="1"/>
  <c r="B18" i="2"/>
  <c r="B17" i="2"/>
  <c r="I17" i="2" s="1"/>
  <c r="B12" i="2"/>
  <c r="B9" i="2"/>
  <c r="H78" i="2" l="1"/>
  <c r="I78" i="2" s="1"/>
  <c r="B82" i="2"/>
  <c r="I71" i="2"/>
  <c r="I12" i="2"/>
  <c r="C18" i="2"/>
  <c r="N231" i="2"/>
  <c r="C69" i="2"/>
  <c r="B65" i="2"/>
  <c r="O231" i="2"/>
  <c r="C24" i="2"/>
  <c r="C67" i="2"/>
  <c r="C82" i="2" s="1"/>
  <c r="C89" i="2"/>
  <c r="H89" i="2" s="1"/>
  <c r="C28" i="2"/>
  <c r="H28" i="2" s="1"/>
  <c r="I28" i="2" s="1"/>
  <c r="K232" i="2"/>
  <c r="G154" i="2"/>
  <c r="D229" i="2"/>
  <c r="G150" i="2"/>
  <c r="G145" i="2"/>
  <c r="G133" i="2"/>
  <c r="F229" i="2"/>
  <c r="M232" i="2"/>
  <c r="F126" i="2"/>
  <c r="D126" i="2"/>
  <c r="C126" i="2"/>
  <c r="B126" i="2"/>
  <c r="E126" i="2"/>
  <c r="B100" i="2"/>
  <c r="D78" i="2"/>
  <c r="D77" i="2"/>
  <c r="D76" i="2"/>
  <c r="D71" i="2"/>
  <c r="D17" i="2"/>
  <c r="D12" i="2"/>
  <c r="C9" i="2"/>
  <c r="H9" i="2" s="1"/>
  <c r="C81" i="1"/>
  <c r="B84" i="2" l="1"/>
  <c r="B102" i="2" s="1"/>
  <c r="D18" i="2"/>
  <c r="H18" i="2"/>
  <c r="I18" i="2" s="1"/>
  <c r="H67" i="2"/>
  <c r="H82" i="2" s="1"/>
  <c r="I89" i="2"/>
  <c r="I100" i="2" s="1"/>
  <c r="H100" i="2"/>
  <c r="I9" i="2"/>
  <c r="D24" i="2"/>
  <c r="H24" i="2"/>
  <c r="I24" i="2" s="1"/>
  <c r="D89" i="2"/>
  <c r="D100" i="2" s="1"/>
  <c r="C100" i="2"/>
  <c r="C65" i="2"/>
  <c r="D28" i="2"/>
  <c r="C229" i="2"/>
  <c r="E229" i="2"/>
  <c r="L232" i="2"/>
  <c r="O232" i="2" s="1"/>
  <c r="D9" i="2"/>
  <c r="D67" i="2"/>
  <c r="D82" i="2" s="1"/>
  <c r="B229" i="2"/>
  <c r="C10" i="1"/>
  <c r="C9" i="1" s="1"/>
  <c r="B9" i="1"/>
  <c r="C14" i="1"/>
  <c r="C13" i="1"/>
  <c r="D65" i="2" l="1"/>
  <c r="D84" i="2" s="1"/>
  <c r="D102" i="2" s="1"/>
  <c r="C84" i="2"/>
  <c r="C102" i="2" s="1"/>
  <c r="I65" i="2"/>
  <c r="H65" i="2"/>
  <c r="H84" i="2" s="1"/>
  <c r="H102" i="2" s="1"/>
  <c r="I67" i="2"/>
  <c r="I82" i="2" s="1"/>
  <c r="B231" i="2"/>
  <c r="B232" i="2" s="1"/>
  <c r="N232" i="2"/>
  <c r="D9" i="1"/>
  <c r="C80" i="1"/>
  <c r="C79" i="1"/>
  <c r="C78" i="1"/>
  <c r="C75" i="1"/>
  <c r="C74" i="1"/>
  <c r="C73" i="1"/>
  <c r="I84" i="2" l="1"/>
  <c r="I102" i="2" s="1"/>
  <c r="C110" i="2"/>
  <c r="C231" i="2" s="1"/>
  <c r="C232" i="2" s="1"/>
  <c r="C77" i="1"/>
  <c r="C58" i="1"/>
  <c r="C57" i="1"/>
  <c r="C56" i="1"/>
  <c r="C55" i="1"/>
  <c r="C54" i="1"/>
  <c r="D110" i="2" l="1"/>
  <c r="D231" i="2" s="1"/>
  <c r="D232" i="2" s="1"/>
  <c r="C51" i="1"/>
  <c r="C44" i="1"/>
  <c r="C32" i="1"/>
  <c r="C33" i="1"/>
  <c r="C45" i="1"/>
  <c r="C43" i="1"/>
  <c r="C42" i="1"/>
  <c r="C40" i="1"/>
  <c r="C39" i="1"/>
  <c r="C38" i="1"/>
  <c r="C37" i="1"/>
  <c r="C36" i="1"/>
  <c r="C35" i="1"/>
  <c r="C34" i="1"/>
  <c r="C31" i="1"/>
  <c r="C30" i="1"/>
  <c r="C29" i="1"/>
  <c r="C28" i="1"/>
  <c r="C26" i="1"/>
  <c r="C23" i="1"/>
  <c r="C22" i="1"/>
  <c r="C21" i="1"/>
  <c r="C15" i="1"/>
  <c r="E110" i="2" l="1"/>
  <c r="E231" i="2" s="1"/>
  <c r="E232" i="2" s="1"/>
  <c r="C12" i="1"/>
  <c r="B112" i="1"/>
  <c r="F110" i="2" l="1"/>
  <c r="F231" i="2" s="1"/>
  <c r="F232" i="2" s="1"/>
  <c r="C19" i="1"/>
  <c r="C133" i="1"/>
  <c r="E133" i="1"/>
  <c r="C52" i="1" l="1"/>
  <c r="D134" i="1"/>
  <c r="K208" i="1"/>
  <c r="E102" i="1"/>
  <c r="C62" i="1" s="1"/>
  <c r="F113" i="1"/>
  <c r="C137" i="1"/>
  <c r="C138" i="1"/>
  <c r="C46" i="1" s="1"/>
  <c r="E127" i="1"/>
  <c r="F108" i="1"/>
  <c r="F206" i="1" l="1"/>
  <c r="C18" i="1"/>
  <c r="C20" i="1"/>
  <c r="E206" i="1"/>
  <c r="C63" i="1"/>
  <c r="C24" i="1"/>
  <c r="C25" i="1"/>
  <c r="G128" i="1"/>
  <c r="C61" i="1"/>
  <c r="G134" i="1"/>
  <c r="G114" i="1"/>
  <c r="C206" i="1"/>
  <c r="B72" i="1" l="1"/>
  <c r="B83" i="1" s="1"/>
  <c r="B61" i="1"/>
  <c r="B59" i="1"/>
  <c r="B54" i="1"/>
  <c r="B50" i="1"/>
  <c r="B24" i="1"/>
  <c r="B27" i="1" s="1"/>
  <c r="B18" i="1"/>
  <c r="B17" i="1"/>
  <c r="B12" i="1"/>
  <c r="B48" i="1" l="1"/>
  <c r="B65" i="1"/>
  <c r="D24" i="1"/>
  <c r="D61" i="1"/>
  <c r="D59" i="1"/>
  <c r="D60" i="1"/>
  <c r="D54" i="1"/>
  <c r="D17" i="1"/>
  <c r="D12" i="1"/>
  <c r="B67" i="1" l="1"/>
  <c r="B85" i="1" s="1"/>
  <c r="K209" i="1"/>
  <c r="D137" i="1" l="1"/>
  <c r="D148" i="1"/>
  <c r="B123" i="1"/>
  <c r="B108" i="1"/>
  <c r="C108" i="1"/>
  <c r="D108" i="1"/>
  <c r="E108" i="1"/>
  <c r="C53" i="1" l="1"/>
  <c r="C76" i="1"/>
  <c r="C72" i="1"/>
  <c r="C83" i="1" s="1"/>
  <c r="C41" i="1"/>
  <c r="C27" i="1"/>
  <c r="C48" i="1" s="1"/>
  <c r="L208" i="1"/>
  <c r="L209" i="1" s="1"/>
  <c r="B206" i="1"/>
  <c r="G138" i="1"/>
  <c r="M208" i="1"/>
  <c r="D206" i="1"/>
  <c r="C50" i="1"/>
  <c r="C65" i="1" s="1"/>
  <c r="D27" i="1" l="1"/>
  <c r="C67" i="1"/>
  <c r="C85" i="1" s="1"/>
  <c r="O208" i="1"/>
  <c r="N208" i="1"/>
  <c r="D18" i="1"/>
  <c r="D48" i="1" s="1"/>
  <c r="D50" i="1"/>
  <c r="D65" i="1" s="1"/>
  <c r="B208" i="1"/>
  <c r="B209" i="1" s="1"/>
  <c r="D72" i="1"/>
  <c r="D83" i="1" s="1"/>
  <c r="M209" i="1"/>
  <c r="N209" i="1" s="1"/>
  <c r="C93" i="1" l="1"/>
  <c r="C208" i="1" s="1"/>
  <c r="C209" i="1" s="1"/>
  <c r="D67" i="1"/>
  <c r="D85" i="1" s="1"/>
  <c r="O209" i="1"/>
  <c r="D93" i="1" l="1"/>
  <c r="D208" i="1" s="1"/>
  <c r="D209" i="1" s="1"/>
  <c r="E93" i="1" l="1"/>
  <c r="E208" i="1" l="1"/>
  <c r="F93" i="1" s="1"/>
  <c r="F208" i="1" s="1"/>
  <c r="F209" i="1" s="1"/>
  <c r="E209" i="1" l="1"/>
</calcChain>
</file>

<file path=xl/sharedStrings.xml><?xml version="1.0" encoding="utf-8"?>
<sst xmlns="http://schemas.openxmlformats.org/spreadsheetml/2006/main" count="2421" uniqueCount="402">
  <si>
    <t>Initial Balance</t>
  </si>
  <si>
    <t>IN</t>
  </si>
  <si>
    <t>WOX</t>
  </si>
  <si>
    <t>Lead bulion</t>
  </si>
  <si>
    <t>D'ore alloy</t>
  </si>
  <si>
    <t>OUT</t>
  </si>
  <si>
    <t>Week</t>
  </si>
  <si>
    <t>Total IN</t>
  </si>
  <si>
    <t>COKE (BUDMAT)</t>
  </si>
  <si>
    <t>INTERNAL TRANSPORTATION OF RAW MATERIAL</t>
  </si>
  <si>
    <t>CASH FOR SMALL PAYMENTS</t>
  </si>
  <si>
    <t>WRAPING MATERIALS (BIG BAGS)</t>
  </si>
  <si>
    <t>FUELS FOR CARS</t>
  </si>
  <si>
    <t>LEASING + INSURANCE</t>
  </si>
  <si>
    <t>LIME</t>
  </si>
  <si>
    <t>ELECTRICITY</t>
  </si>
  <si>
    <t>Total OUT</t>
  </si>
  <si>
    <t>Final balance</t>
  </si>
  <si>
    <t>COKE (DORSET)</t>
  </si>
  <si>
    <t>WAELZ REPAIRES (IZOREF)</t>
  </si>
  <si>
    <t>REFRACTORY BRICKS AND CONCRETE(HAZNEDAR)</t>
  </si>
  <si>
    <t>REFRACTORY BRICKS AND CONCRETE(ZAKLADY)</t>
  </si>
  <si>
    <t>COKE (INTERSILESIA)</t>
  </si>
  <si>
    <t>ASSAY FOR WAELZ OXIDES</t>
  </si>
  <si>
    <t>TRANSP. OF WAELZ OXIDES (ASTRID)</t>
  </si>
  <si>
    <t>TRANSP. OF WAELZ OXIDES (FILTRANS)</t>
  </si>
  <si>
    <t>Final balance in USD</t>
  </si>
  <si>
    <t>FREIGHT + INSURANCE OF D'ORE</t>
  </si>
  <si>
    <t>DAILY WORKERS</t>
  </si>
  <si>
    <t xml:space="preserve">SECURITY SERVICES </t>
  </si>
  <si>
    <t>NATURAL GAS (WIEE)</t>
  </si>
  <si>
    <t>OTHER</t>
  </si>
  <si>
    <t>Antimony slag &amp; KTO Dust</t>
  </si>
  <si>
    <t>Court Expenditure Returns</t>
  </si>
  <si>
    <t>LEGAL SERVICES</t>
  </si>
  <si>
    <t>ACCOMODATION</t>
  </si>
  <si>
    <t>COURIER SERVICES</t>
  </si>
  <si>
    <t>CONSUMABLES</t>
  </si>
  <si>
    <t>TRANSPORT OF LIME</t>
  </si>
  <si>
    <t>Lead metal</t>
  </si>
  <si>
    <t>ENVIROMENTAL STUDIES</t>
  </si>
  <si>
    <t>WATER</t>
  </si>
  <si>
    <t>NATURAL GAS (E-ON)</t>
  </si>
  <si>
    <t>RDA EXPENSES</t>
  </si>
  <si>
    <t>DELEGATION EXPENCES LIOLIOS</t>
  </si>
  <si>
    <t>LUBRICANTES</t>
  </si>
  <si>
    <t>CHEMICALS FOR LABORATORY</t>
  </si>
  <si>
    <t>SERVICES FOR LIFTING MACHINERY</t>
  </si>
  <si>
    <t>REPAIRES FOR FORCLIFTS</t>
  </si>
  <si>
    <t>SERVICES FOR A/C</t>
  </si>
  <si>
    <t>FILTER BAGS</t>
  </si>
  <si>
    <t>AUDIT SERVICES</t>
  </si>
  <si>
    <t>INTERNET + LAND LINES</t>
  </si>
  <si>
    <t>INOX MATERIALS</t>
  </si>
  <si>
    <t>IT SERVICES AND SUPPLIES</t>
  </si>
  <si>
    <t>SERVICES FOR PELETAZING</t>
  </si>
  <si>
    <t>AUXILIARY MATERIALS</t>
  </si>
  <si>
    <t>INOX ELECTRODES</t>
  </si>
  <si>
    <t>TEHNICAL INSPECTIONS</t>
  </si>
  <si>
    <t>VAT to receive</t>
  </si>
  <si>
    <t>TRANSLATOR (VALERICA MITU)</t>
  </si>
  <si>
    <t>SMALL PAYMENTS UNDER 3.000 RON</t>
  </si>
  <si>
    <t>PUBLICITY SERVICES</t>
  </si>
  <si>
    <t>FOOD FOR SECURITIES</t>
  </si>
  <si>
    <t>TRANSPORT OF PELETIZED RAW MATERIAL</t>
  </si>
  <si>
    <t>STUDIES FOR WAELZ</t>
  </si>
  <si>
    <t>MEDICAL SUPPLIES</t>
  </si>
  <si>
    <t>CHLORINE + REPAIRES</t>
  </si>
  <si>
    <t>AIR TICKETS</t>
  </si>
  <si>
    <t>PROTECTION EQIPMENT</t>
  </si>
  <si>
    <t>REFINING CHARGES</t>
  </si>
  <si>
    <t>REFRACTORY BRICKS (REFAROM)</t>
  </si>
  <si>
    <t>RETURNING ADVANCE IMR POWDER TECHNOLOGIES</t>
  </si>
  <si>
    <t>AUTO REPAIRES and CONSUMABLES</t>
  </si>
  <si>
    <t>PB-AG DUST</t>
  </si>
  <si>
    <t>RENTAL FOR SPECIAL GASES TANKS</t>
  </si>
  <si>
    <t>SANITATION SERVICES</t>
  </si>
  <si>
    <t>OFFICE SUPLIES</t>
  </si>
  <si>
    <t>COMPRESSOR REPAIRES</t>
  </si>
  <si>
    <t>COKE (INTERCOM)</t>
  </si>
  <si>
    <t>FINANCIAL CONSULTANCY</t>
  </si>
  <si>
    <t>Canteen selling</t>
  </si>
  <si>
    <t>TOPOGRAFICAL MESUREMENTS</t>
  </si>
  <si>
    <t>REPAIRES FOR CARBON ANALYSOR</t>
  </si>
  <si>
    <t>TRANSLATION SERVICES</t>
  </si>
  <si>
    <t>CAR RENTAL</t>
  </si>
  <si>
    <t>REPAIRES FOR WAELZ KILN</t>
  </si>
  <si>
    <t>NUCLEAR LICENSE</t>
  </si>
  <si>
    <t>EXCAVATOR TECHNICAL REVISION</t>
  </si>
  <si>
    <t>ENERGETICAL CERTIFICATE FOR CANTEEN</t>
  </si>
  <si>
    <t>SHAREHOLDERS REGISTRY SERVICES</t>
  </si>
  <si>
    <t>METALURGY SOCIETY SUBSCRIPTION</t>
  </si>
  <si>
    <t>SECURITY EVALUATION</t>
  </si>
  <si>
    <t>MEDICAL CHECKING</t>
  </si>
  <si>
    <t>SALARIES RETENTIONS (SOMETRA'S and REYCOM UNION)</t>
  </si>
  <si>
    <t>METAL PLATES (WAELZ KILN)</t>
  </si>
  <si>
    <t>Scraps of bricks</t>
  </si>
  <si>
    <t>Scraps of coper</t>
  </si>
  <si>
    <t>ENVIROMENTAL SERVICES (MUICA)</t>
  </si>
  <si>
    <t>AoG for coke</t>
  </si>
  <si>
    <t>TRANSPORT OF SPARE PARTS</t>
  </si>
  <si>
    <t>RECRUTING SERVICES</t>
  </si>
  <si>
    <t>X-MAS GIFTS</t>
  </si>
  <si>
    <t xml:space="preserve">SALARIES </t>
  </si>
  <si>
    <t>30/01-03/02</t>
  </si>
  <si>
    <t>06-10/02</t>
  </si>
  <si>
    <t>13-17/02</t>
  </si>
  <si>
    <t>20-24/02</t>
  </si>
  <si>
    <t>27/02-03/03</t>
  </si>
  <si>
    <t>COMPENSATORY SALARIES (SAMARAS) + BUCIN</t>
  </si>
  <si>
    <t>STOCK EXCHANGE SUBSCRIPTION</t>
  </si>
  <si>
    <t>SECURITY CAMERAS</t>
  </si>
  <si>
    <t>2011-2015</t>
  </si>
  <si>
    <t>RON</t>
  </si>
  <si>
    <t>USD</t>
  </si>
  <si>
    <r>
      <t xml:space="preserve">2016 </t>
    </r>
    <r>
      <rPr>
        <b/>
        <sz val="11"/>
        <color theme="1"/>
        <rFont val="Calibri"/>
        <family val="2"/>
        <charset val="161"/>
      </rPr>
      <t>COKE</t>
    </r>
  </si>
  <si>
    <t>in 1000s</t>
  </si>
  <si>
    <t>Feb</t>
  </si>
  <si>
    <t>CF</t>
  </si>
  <si>
    <t>Product Sales</t>
  </si>
  <si>
    <t>Waelz revenues</t>
  </si>
  <si>
    <t>Coke</t>
  </si>
  <si>
    <t>Other materials</t>
  </si>
  <si>
    <t>Total Labour</t>
  </si>
  <si>
    <t>Operating Exp.</t>
  </si>
  <si>
    <t>CAPEX</t>
  </si>
  <si>
    <t>Other Rev./Exp.</t>
  </si>
  <si>
    <t>Financial Rev./Exp.</t>
  </si>
  <si>
    <t>Taxes/Penalties</t>
  </si>
  <si>
    <t>VAT</t>
  </si>
  <si>
    <t>Share capital increase</t>
  </si>
  <si>
    <t>Intragroup flows</t>
  </si>
  <si>
    <t>Bulilding sale</t>
  </si>
  <si>
    <t>Working Capital</t>
  </si>
  <si>
    <t>Cash flows from operation (a)</t>
  </si>
  <si>
    <t>Other cash flows (b)</t>
  </si>
  <si>
    <t>Cash flows for the year (a + b)</t>
  </si>
  <si>
    <t>Extra ordinary cash flows (c)</t>
  </si>
  <si>
    <t>TOTAL (a + b + c)</t>
  </si>
  <si>
    <t>$/RON</t>
  </si>
  <si>
    <t>Scenarios</t>
  </si>
  <si>
    <t>Payment plan</t>
  </si>
  <si>
    <t>D</t>
  </si>
  <si>
    <t>maintenance</t>
  </si>
  <si>
    <r>
      <t xml:space="preserve">amounts in k </t>
    </r>
    <r>
      <rPr>
        <b/>
        <sz val="12"/>
        <color rgb="FFC00000"/>
        <rFont val="Calibri"/>
        <family val="2"/>
        <charset val="161"/>
        <scheme val="minor"/>
      </rPr>
      <t>RON</t>
    </r>
  </si>
  <si>
    <t>STATE BUDGET VAT</t>
  </si>
  <si>
    <t>STATE BUDGET SOCIAL SECURITY CONTRIBUTION</t>
  </si>
  <si>
    <t>CONTRIBUTIONS FOR SALARIES</t>
  </si>
  <si>
    <t>SPARE PARTS CAPEX</t>
  </si>
  <si>
    <t>SPARE PARTS MAINTENANCE</t>
  </si>
  <si>
    <t>CONSUMABLES OPEX</t>
  </si>
  <si>
    <t>CONSUMABLES CAPEX</t>
  </si>
  <si>
    <t>CONTRIBUTIONS FOR INDEMNITY (SAMARAS)</t>
  </si>
  <si>
    <t>TOTAL w/o COKE 2016</t>
  </si>
  <si>
    <t>TOTAL w/ Coke 2016</t>
  </si>
  <si>
    <t>STATE BDG SUM</t>
  </si>
  <si>
    <t>CONTRIBUTIONS SUM</t>
  </si>
  <si>
    <t>SPARE PARTS SUM</t>
  </si>
  <si>
    <t>CONSUMABLES SUM</t>
  </si>
  <si>
    <t>Mar</t>
  </si>
  <si>
    <t>06-10/03</t>
  </si>
  <si>
    <t>13-17/03</t>
  </si>
  <si>
    <t>20-24/03</t>
  </si>
  <si>
    <t>27-31/03</t>
  </si>
  <si>
    <t>LEGAL SERVICES (PELIFILIP + MUSAT)</t>
  </si>
  <si>
    <t>LEGAL SERVICES (AV ARCAS DELIA)</t>
  </si>
  <si>
    <t>EXCAVATOR REPAIRES</t>
  </si>
  <si>
    <t>MOUNTING BRICKS IN THE KILN</t>
  </si>
  <si>
    <t>LEGAL SERVICES (AV PLITEA BIANCA)</t>
  </si>
  <si>
    <t>TAX ON LAND</t>
  </si>
  <si>
    <t>TAX ON BUILDINGS</t>
  </si>
  <si>
    <t>OTHER LOCAL TAXES</t>
  </si>
  <si>
    <t>Payments proposed in feb. and not made</t>
  </si>
  <si>
    <t>Payment plan Mar.</t>
  </si>
  <si>
    <t>Difference</t>
  </si>
  <si>
    <t>Not included payment for bricks bought by AoG</t>
  </si>
  <si>
    <t>We didn't  order yet the coke</t>
  </si>
  <si>
    <t>Is included the local taxes for whole year</t>
  </si>
  <si>
    <t>Selling of Cooper will be made in April</t>
  </si>
  <si>
    <t>Delayed orders for Operation necesities</t>
  </si>
  <si>
    <t>The income is only for the production up to 13.03.2017.</t>
  </si>
  <si>
    <t>MFP loan for IMN payments</t>
  </si>
  <si>
    <t>LABORATORY TESTS (IMN)</t>
  </si>
  <si>
    <t>MOBILE PHONES</t>
  </si>
  <si>
    <t>03-07/04</t>
  </si>
  <si>
    <t>10-14/04</t>
  </si>
  <si>
    <t>17-21/04</t>
  </si>
  <si>
    <t>24-28/04</t>
  </si>
  <si>
    <t>ENVIROMENTAL SERVICES (ISPE)</t>
  </si>
  <si>
    <t>COMPENSATORY SALARIES (SAMARAS)</t>
  </si>
  <si>
    <t>REFRACTORY CONCRETE(HAZNEDAR)</t>
  </si>
  <si>
    <t>Kindergarden selling</t>
  </si>
  <si>
    <t>DRILLING PIPES</t>
  </si>
  <si>
    <t>DRILLING SERVICES</t>
  </si>
  <si>
    <t>KINDERGARDEN SALE</t>
  </si>
  <si>
    <t>R&amp;D EXPENSES</t>
  </si>
  <si>
    <t>REFRACTORY CONCRETE (HAZNEDAR)</t>
  </si>
  <si>
    <t>The Waelz kiln is stoped</t>
  </si>
  <si>
    <t>R&amp;D expenses</t>
  </si>
  <si>
    <t>R&amp;D amounts balance</t>
  </si>
  <si>
    <t>Final balance in RON (agregate)</t>
  </si>
  <si>
    <t>Final balance in USD (agregate)</t>
  </si>
  <si>
    <t>KINDERGARDEN SALE COMMISION</t>
  </si>
  <si>
    <t>01-05/05</t>
  </si>
  <si>
    <t>08-12/05</t>
  </si>
  <si>
    <t>15-19/05</t>
  </si>
  <si>
    <t>22-26/05</t>
  </si>
  <si>
    <t>29/05-02/06</t>
  </si>
  <si>
    <t>ARCHIVING SERVICES</t>
  </si>
  <si>
    <t>OPERATIONAL NECESITIES</t>
  </si>
  <si>
    <t>ENVIROMENTAL SERVICES (OZUNU)</t>
  </si>
  <si>
    <t>FINANCIAL AUDIT</t>
  </si>
  <si>
    <t>SCRAP OF COOPER SALE</t>
  </si>
  <si>
    <t>May</t>
  </si>
  <si>
    <t>Scraps of iron</t>
  </si>
  <si>
    <t>TOPOGRAPHICAL MESUREMENTS</t>
  </si>
  <si>
    <t>NOTARY FEES</t>
  </si>
  <si>
    <t xml:space="preserve">MFP loan </t>
  </si>
  <si>
    <t>MEDICAL SUPPLIES AND CHECKINNG</t>
  </si>
  <si>
    <t>05-09/06</t>
  </si>
  <si>
    <t>12-16/06</t>
  </si>
  <si>
    <t>19-23/06</t>
  </si>
  <si>
    <t>26-30/06</t>
  </si>
  <si>
    <t>MAINTENANCE FOR ACCOUNTING PROGRAM</t>
  </si>
  <si>
    <t>INDEMNITIES</t>
  </si>
  <si>
    <t>COMMERCIAL LICENSE RENEWEL</t>
  </si>
  <si>
    <t>DRILLING SUPERVISION</t>
  </si>
  <si>
    <t>ENVIROMENTAL SERVICES (R&amp;D)</t>
  </si>
  <si>
    <t>LAND BOOK TAXES + TRANSLATIONS SERVICES</t>
  </si>
  <si>
    <t>03-07/07</t>
  </si>
  <si>
    <t>10-14/07</t>
  </si>
  <si>
    <t>Oil from transformers</t>
  </si>
  <si>
    <t>concentrat de zinc si plumb</t>
  </si>
  <si>
    <t>plumb</t>
  </si>
  <si>
    <t>plumb brut</t>
  </si>
  <si>
    <t>aliaj d'ore</t>
  </si>
  <si>
    <t>zgura stibioasa &amp; praf kto</t>
  </si>
  <si>
    <t>praf plumb-argint</t>
  </si>
  <si>
    <t>Imprumut Mytilineos Financial Partners</t>
  </si>
  <si>
    <t>Aluminium pt cocs</t>
  </si>
  <si>
    <t>TVA de recuperat</t>
  </si>
  <si>
    <t>Cautiuni returnate</t>
  </si>
  <si>
    <t>Deseu fier</t>
  </si>
  <si>
    <t>Deseu caramizi</t>
  </si>
  <si>
    <t>Deseu cupru</t>
  </si>
  <si>
    <t>Ulei transformatoare</t>
  </si>
  <si>
    <t>Vanzare cresa</t>
  </si>
  <si>
    <t>cocs</t>
  </si>
  <si>
    <t>salarii</t>
  </si>
  <si>
    <t>indemnizatii (6salarii)</t>
  </si>
  <si>
    <t>contributii pentru salarii</t>
  </si>
  <si>
    <t>contributii pt samaras</t>
  </si>
  <si>
    <t>paza</t>
  </si>
  <si>
    <t>salarii compensatorii Samaras</t>
  </si>
  <si>
    <t>retrageri de numerar</t>
  </si>
  <si>
    <t>reparatii si consumabile auto</t>
  </si>
  <si>
    <t>internet + telefonie fixa</t>
  </si>
  <si>
    <t>combustibil (rompetrol)</t>
  </si>
  <si>
    <t>TVA de plata</t>
  </si>
  <si>
    <t>datorii la buget</t>
  </si>
  <si>
    <t>transport material oxidic (astrid)</t>
  </si>
  <si>
    <t>bilete de avion</t>
  </si>
  <si>
    <t>piese de schimb revizie</t>
  </si>
  <si>
    <t>piese de schimb mentenanta</t>
  </si>
  <si>
    <t>consumabile revizie</t>
  </si>
  <si>
    <t>consumabile mentenata</t>
  </si>
  <si>
    <t>retineri din salarii (sindicat)</t>
  </si>
  <si>
    <t>supervizare foraj halda (SGS)</t>
  </si>
  <si>
    <t>servicii foraj (eliathos drilling)</t>
  </si>
  <si>
    <t>sevicii mediu (muica)</t>
  </si>
  <si>
    <t>gaz natural (e-on)</t>
  </si>
  <si>
    <t>salubritate</t>
  </si>
  <si>
    <t>gaz natural (wiee)</t>
  </si>
  <si>
    <t>electricitate</t>
  </si>
  <si>
    <t>sevicii juridice</t>
  </si>
  <si>
    <t>apa</t>
  </si>
  <si>
    <t>servicii curierat</t>
  </si>
  <si>
    <t>servicii si consumabile IT</t>
  </si>
  <si>
    <t>analize pt material oxidic waelz</t>
  </si>
  <si>
    <t>consumabile medicale, analize, controale periodice</t>
  </si>
  <si>
    <t>necesitati operationale</t>
  </si>
  <si>
    <t>servicii arhivare</t>
  </si>
  <si>
    <t>telefoane mobile</t>
  </si>
  <si>
    <t>audit financiar</t>
  </si>
  <si>
    <t>taxe notariale si taxe carte funciara</t>
  </si>
  <si>
    <t>teste laborator (IMN)</t>
  </si>
  <si>
    <t>mentenanta pt program contabilitate</t>
  </si>
  <si>
    <t>reinoire licenta</t>
  </si>
  <si>
    <t>servicii mediu</t>
  </si>
  <si>
    <t>beton refractar</t>
  </si>
  <si>
    <t>comision vanzare cresa</t>
  </si>
  <si>
    <t>servicii mediu (ozunu)</t>
  </si>
  <si>
    <t>masuratori topografice</t>
  </si>
  <si>
    <t>servicii publicitate</t>
  </si>
  <si>
    <t>consultanta financiara</t>
  </si>
  <si>
    <t>transport intern materie prima</t>
  </si>
  <si>
    <t>cheltuieli RDA</t>
  </si>
  <si>
    <t>camere securitate</t>
  </si>
  <si>
    <t>elenis</t>
  </si>
  <si>
    <t>caramizi refractare</t>
  </si>
  <si>
    <t>raparatii cuptor waelz</t>
  </si>
  <si>
    <t>transport piese de schimb</t>
  </si>
  <si>
    <t>cazare</t>
  </si>
  <si>
    <t>taxa SRM</t>
  </si>
  <si>
    <t>studii mediu</t>
  </si>
  <si>
    <t>reparatii stivuitor</t>
  </si>
  <si>
    <t>impozit teren</t>
  </si>
  <si>
    <t>impozit cladiri</t>
  </si>
  <si>
    <t>alte taxe locale</t>
  </si>
  <si>
    <t>lubrifianti</t>
  </si>
  <si>
    <t>materiale auxiliare</t>
  </si>
  <si>
    <t>inox</t>
  </si>
  <si>
    <t>taxa Bursa de valori</t>
  </si>
  <si>
    <t>inchiriere auto</t>
  </si>
  <si>
    <t>calcar</t>
  </si>
  <si>
    <t>transport pt calcar</t>
  </si>
  <si>
    <t>mancare paza</t>
  </si>
  <si>
    <t>materiale birotica</t>
  </si>
  <si>
    <t>cadouri craciun</t>
  </si>
  <si>
    <t>table</t>
  </si>
  <si>
    <t>evaluare de securitate</t>
  </si>
  <si>
    <t>certificat energetic cantina</t>
  </si>
  <si>
    <t>taxa registru actionari(depozitarul central)</t>
  </si>
  <si>
    <t>autorizare nucleara</t>
  </si>
  <si>
    <t>reparatii analizor carbon</t>
  </si>
  <si>
    <t>chimicale pt laborator</t>
  </si>
  <si>
    <t>inspectii tehnice</t>
  </si>
  <si>
    <t>reparatii compresoare</t>
  </si>
  <si>
    <t>consumabile</t>
  </si>
  <si>
    <t>chirie butelii</t>
  </si>
  <si>
    <t>echipament protectie</t>
  </si>
  <si>
    <t>clor + reparatii butelii</t>
  </si>
  <si>
    <t>cheltuieli rafinare</t>
  </si>
  <si>
    <t>studii pt waelz</t>
  </si>
  <si>
    <t>sevicii pt utilaje de ridicat</t>
  </si>
  <si>
    <t>transport + asigurare aliaj</t>
  </si>
  <si>
    <t>reparatii waelz</t>
  </si>
  <si>
    <t>altele</t>
  </si>
  <si>
    <t>reparatii aer conditionat</t>
  </si>
  <si>
    <t>servicii peletizare</t>
  </si>
  <si>
    <t>saci filtre</t>
  </si>
  <si>
    <t>electrozi inox</t>
  </si>
  <si>
    <t>plati sub 3000 ron</t>
  </si>
  <si>
    <t>STAFF RECRUTING SRVICES</t>
  </si>
  <si>
    <t>17-21/07</t>
  </si>
  <si>
    <t>24-31/07</t>
  </si>
  <si>
    <t>SERVICES FOR DEMOLITION PERMITS</t>
  </si>
  <si>
    <t>PANMETAL</t>
  </si>
  <si>
    <t>COKE REPORT</t>
  </si>
  <si>
    <t>01-04/08</t>
  </si>
  <si>
    <t>07-11/08</t>
  </si>
  <si>
    <t>14-18/08</t>
  </si>
  <si>
    <t>21-25/08</t>
  </si>
  <si>
    <t>28-31/08</t>
  </si>
  <si>
    <t>DAILY WORKERS (ELENIS)</t>
  </si>
  <si>
    <t>SCRAP PROJECT SUPERVISION (PANMETAL)</t>
  </si>
  <si>
    <t>CFR Locomotives + vagons</t>
  </si>
  <si>
    <t>Clinker</t>
  </si>
  <si>
    <t>Scraps of lead</t>
  </si>
  <si>
    <t>04-08/09</t>
  </si>
  <si>
    <t>18-22/09</t>
  </si>
  <si>
    <t>11-14/09</t>
  </si>
  <si>
    <t>25-29/09</t>
  </si>
  <si>
    <t>AC FOR SERVER ROOM</t>
  </si>
  <si>
    <t xml:space="preserve"> INSURANCE</t>
  </si>
  <si>
    <t>02-06/10</t>
  </si>
  <si>
    <t>09-13/10</t>
  </si>
  <si>
    <t>16-20/10</t>
  </si>
  <si>
    <t>23-31/10</t>
  </si>
  <si>
    <t xml:space="preserve">1.) Cheltuieli salariale </t>
  </si>
  <si>
    <t>2.) Cheltuieli Bugetul de Stat</t>
  </si>
  <si>
    <t>Total luna</t>
  </si>
  <si>
    <t>4.) Cheltuieli administrative</t>
  </si>
  <si>
    <t>3.) Cheltuieli utilitati</t>
  </si>
  <si>
    <t>Total An EUR</t>
  </si>
  <si>
    <t>5.) Cheltuieli intretinere platforma
industriala SC Sometra SA</t>
  </si>
  <si>
    <t>1 euro = 5 RON</t>
  </si>
  <si>
    <t>Observatii</t>
  </si>
  <si>
    <t>salaries</t>
  </si>
  <si>
    <t>contributions</t>
  </si>
  <si>
    <t>utilities</t>
  </si>
  <si>
    <t>administrative expenses</t>
  </si>
  <si>
    <t>Sometra SA - Buget An 2025</t>
  </si>
  <si>
    <t>Sometra SA - Buget Ianuarie 2025</t>
  </si>
  <si>
    <t>5.) Cheltuieli intretinere halda industriala SC Sometra SA</t>
  </si>
  <si>
    <t>Sometra SA - Buget Februarie 2025</t>
  </si>
  <si>
    <t>Sometra SA - Buget Martie 2025</t>
  </si>
  <si>
    <t>6.) Cheltuieli impozite si taxe locale 2025</t>
  </si>
  <si>
    <t>Sometra SA - Buget Aprilie 2025</t>
  </si>
  <si>
    <t>Sometra SA - Buget Mai 2025</t>
  </si>
  <si>
    <t>Sometra SA - Buget Iunie 2025</t>
  </si>
  <si>
    <t>Sometra SA - Buget Iulie 2025</t>
  </si>
  <si>
    <t>Sometra SA - Buget August 2025</t>
  </si>
  <si>
    <t>Sometra SA - Buget Septembrie 2025</t>
  </si>
  <si>
    <t>Sometra SA - Buget Octombrie 2025</t>
  </si>
  <si>
    <t>Sometra SA - Buget Noiembrie 2025</t>
  </si>
  <si>
    <t>Sometra SA - Buget Decembrie 2025</t>
  </si>
  <si>
    <t>Total An 2025 RON</t>
  </si>
  <si>
    <t>BMT halda maintenance</t>
  </si>
  <si>
    <t>tax on buildings for 2025</t>
  </si>
  <si>
    <t>7.) Cheltuieli consultanta</t>
  </si>
  <si>
    <t>Ocon Ecorisc, GSDRF Management, 
Dutescu&amp;Asociatii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</si>
</sst>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l_e_i_-;\-* #,##0.00\ _l_e_i_-;_-* &quot;-&quot;??\ _l_e_i_-;_-@_-"/>
    <numFmt numFmtId="165" formatCode="#,##0\ [$lei-418]"/>
    <numFmt numFmtId="166" formatCode="[$$-409]#,##0"/>
    <numFmt numFmtId="167" formatCode="#,##0_ ;[Red]\-#,##0\ "/>
    <numFmt numFmtId="168" formatCode="#,##0.0"/>
  </numFmts>
  <fonts count="36" x14ac:knownFonts="1">
    <font>
      <sz val="11"/>
      <color theme="1"/>
      <name val="Calibri"/>
      <family val="2"/>
      <charset val="238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charset val="161"/>
      <scheme val="minor"/>
    </font>
    <font>
      <b/>
      <sz val="11"/>
      <color theme="1"/>
      <name val="Calibri"/>
      <family val="2"/>
      <charset val="161"/>
    </font>
    <font>
      <b/>
      <sz val="11"/>
      <color theme="1"/>
      <name val="Cambria"/>
      <family val="2"/>
      <charset val="161"/>
      <scheme val="major"/>
    </font>
    <font>
      <sz val="10"/>
      <color theme="1"/>
      <name val="Verdana"/>
      <family val="2"/>
    </font>
    <font>
      <b/>
      <sz val="12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9"/>
      <color rgb="FF002060"/>
      <name val="Calibri"/>
      <family val="2"/>
      <charset val="161"/>
      <scheme val="minor"/>
    </font>
    <font>
      <i/>
      <sz val="9"/>
      <color rgb="FFC00000"/>
      <name val="Calibri"/>
      <family val="2"/>
      <charset val="161"/>
      <scheme val="minor"/>
    </font>
    <font>
      <sz val="9"/>
      <color rgb="FF002060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i/>
      <sz val="9"/>
      <color rgb="FF002060"/>
      <name val="Calibri"/>
      <family val="2"/>
      <charset val="161"/>
      <scheme val="minor"/>
    </font>
    <font>
      <b/>
      <i/>
      <sz val="9"/>
      <color rgb="FF002060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</font>
    <font>
      <i/>
      <sz val="11"/>
      <color rgb="FFC00000"/>
      <name val="Cambria"/>
      <family val="1"/>
      <charset val="161"/>
      <scheme val="major"/>
    </font>
    <font>
      <b/>
      <i/>
      <sz val="9"/>
      <color rgb="FFC00000"/>
      <name val="Calibri"/>
      <family val="2"/>
      <charset val="161"/>
      <scheme val="minor"/>
    </font>
    <font>
      <b/>
      <sz val="12"/>
      <color rgb="FFC00000"/>
      <name val="Calibri"/>
      <family val="2"/>
      <charset val="161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9"/>
      <color theme="1"/>
      <name val="Calibri"/>
      <family val="2"/>
      <charset val="161"/>
    </font>
    <font>
      <sz val="11"/>
      <color rgb="FF00B050"/>
      <name val="Calibri"/>
      <family val="2"/>
    </font>
    <font>
      <sz val="11"/>
      <color rgb="FF7030A0"/>
      <name val="Calibri"/>
      <family val="2"/>
    </font>
    <font>
      <b/>
      <sz val="9"/>
      <color theme="6" tint="-0.249977111117893"/>
      <name val="Calibri"/>
      <family val="2"/>
      <charset val="161"/>
      <scheme val="minor"/>
    </font>
    <font>
      <i/>
      <sz val="9"/>
      <color theme="6" tint="-0.249977111117893"/>
      <name val="Calibri"/>
      <family val="2"/>
      <charset val="161"/>
      <scheme val="minor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i/>
      <u/>
      <sz val="14"/>
      <color theme="1"/>
      <name val="Times New Roman"/>
      <family val="1"/>
      <charset val="238"/>
    </font>
    <font>
      <b/>
      <i/>
      <u val="singleAccounting"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</font>
    <font>
      <b/>
      <i/>
      <u/>
      <sz val="14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0" tint="-0.499984740745262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164" fontId="29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/>
    <xf numFmtId="3" fontId="0" fillId="0" borderId="1" xfId="0" applyNumberFormat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2" fillId="3" borderId="1" xfId="0" applyFont="1" applyFill="1" applyBorder="1"/>
    <xf numFmtId="3" fontId="2" fillId="3" borderId="1" xfId="0" applyNumberFormat="1" applyFont="1" applyFill="1" applyBorder="1"/>
    <xf numFmtId="0" fontId="0" fillId="0" borderId="1" xfId="0" applyBorder="1" applyAlignment="1">
      <alignment horizontal="center"/>
    </xf>
    <xf numFmtId="1" fontId="0" fillId="0" borderId="1" xfId="0" applyNumberFormat="1" applyBorder="1"/>
    <xf numFmtId="0" fontId="2" fillId="0" borderId="2" xfId="0" applyFont="1" applyBorder="1" applyAlignment="1">
      <alignment horizontal="left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0" fillId="0" borderId="11" xfId="0" applyBorder="1"/>
    <xf numFmtId="0" fontId="0" fillId="4" borderId="1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65" fontId="2" fillId="0" borderId="9" xfId="0" applyNumberFormat="1" applyFont="1" applyBorder="1"/>
    <xf numFmtId="165" fontId="2" fillId="0" borderId="6" xfId="0" applyNumberFormat="1" applyFont="1" applyBorder="1"/>
    <xf numFmtId="166" fontId="2" fillId="0" borderId="10" xfId="0" applyNumberFormat="1" applyFont="1" applyBorder="1"/>
    <xf numFmtId="166" fontId="2" fillId="0" borderId="8" xfId="0" applyNumberFormat="1" applyFont="1" applyBorder="1"/>
    <xf numFmtId="0" fontId="0" fillId="7" borderId="4" xfId="0" applyFill="1" applyBorder="1"/>
    <xf numFmtId="0" fontId="0" fillId="8" borderId="4" xfId="0" applyFill="1" applyBorder="1"/>
    <xf numFmtId="0" fontId="7" fillId="10" borderId="0" xfId="1" applyFont="1" applyFill="1"/>
    <xf numFmtId="0" fontId="9" fillId="10" borderId="14" xfId="2" applyFont="1" applyFill="1" applyBorder="1" applyAlignment="1">
      <alignment horizontal="left" vertical="center"/>
    </xf>
    <xf numFmtId="0" fontId="10" fillId="11" borderId="15" xfId="2" applyFont="1" applyFill="1" applyBorder="1" applyAlignment="1">
      <alignment horizontal="left" vertical="center"/>
    </xf>
    <xf numFmtId="0" fontId="9" fillId="10" borderId="15" xfId="2" applyFont="1" applyFill="1" applyBorder="1" applyAlignment="1">
      <alignment horizontal="left" vertical="center"/>
    </xf>
    <xf numFmtId="0" fontId="9" fillId="10" borderId="0" xfId="2" applyFont="1" applyFill="1" applyAlignment="1">
      <alignment horizontal="left" vertical="center"/>
    </xf>
    <xf numFmtId="0" fontId="9" fillId="12" borderId="0" xfId="2" applyFont="1" applyFill="1" applyAlignment="1">
      <alignment horizontal="left" vertical="center"/>
    </xf>
    <xf numFmtId="0" fontId="11" fillId="10" borderId="0" xfId="2" applyFont="1" applyFill="1"/>
    <xf numFmtId="0" fontId="9" fillId="13" borderId="0" xfId="2" applyFont="1" applyFill="1" applyAlignment="1">
      <alignment horizontal="left" vertical="center"/>
    </xf>
    <xf numFmtId="0" fontId="12" fillId="10" borderId="0" xfId="1" applyFont="1" applyFill="1"/>
    <xf numFmtId="167" fontId="10" fillId="11" borderId="0" xfId="2" applyNumberFormat="1" applyFont="1" applyFill="1" applyAlignment="1">
      <alignment horizontal="center" vertical="center"/>
    </xf>
    <xf numFmtId="167" fontId="13" fillId="10" borderId="0" xfId="2" applyNumberFormat="1" applyFont="1" applyFill="1" applyAlignment="1">
      <alignment horizontal="center" vertical="center"/>
    </xf>
    <xf numFmtId="167" fontId="13" fillId="10" borderId="17" xfId="2" applyNumberFormat="1" applyFont="1" applyFill="1" applyBorder="1" applyAlignment="1">
      <alignment horizontal="center" vertical="center"/>
    </xf>
    <xf numFmtId="167" fontId="14" fillId="12" borderId="0" xfId="2" applyNumberFormat="1" applyFont="1" applyFill="1" applyAlignment="1">
      <alignment horizontal="center" vertical="center"/>
    </xf>
    <xf numFmtId="167" fontId="13" fillId="10" borderId="18" xfId="2" applyNumberFormat="1" applyFont="1" applyFill="1" applyBorder="1" applyAlignment="1">
      <alignment horizontal="center" vertical="center"/>
    </xf>
    <xf numFmtId="0" fontId="13" fillId="10" borderId="0" xfId="2" applyFont="1" applyFill="1"/>
    <xf numFmtId="167" fontId="14" fillId="13" borderId="0" xfId="2" applyNumberFormat="1" applyFont="1" applyFill="1" applyAlignment="1">
      <alignment horizontal="center" vertical="center"/>
    </xf>
    <xf numFmtId="0" fontId="15" fillId="14" borderId="0" xfId="0" applyFont="1" applyFill="1" applyAlignment="1">
      <alignment horizontal="center" vertical="center"/>
    </xf>
    <xf numFmtId="2" fontId="15" fillId="14" borderId="0" xfId="0" applyNumberFormat="1" applyFont="1" applyFill="1" applyAlignment="1">
      <alignment horizontal="center" vertical="center"/>
    </xf>
    <xf numFmtId="0" fontId="0" fillId="10" borderId="0" xfId="0" applyFill="1"/>
    <xf numFmtId="0" fontId="2" fillId="10" borderId="0" xfId="0" applyFont="1" applyFill="1"/>
    <xf numFmtId="0" fontId="16" fillId="9" borderId="13" xfId="0" applyFont="1" applyFill="1" applyBorder="1" applyAlignment="1">
      <alignment horizontal="center" vertical="center"/>
    </xf>
    <xf numFmtId="0" fontId="16" fillId="13" borderId="13" xfId="0" applyFont="1" applyFill="1" applyBorder="1" applyAlignment="1">
      <alignment horizontal="center" vertical="center"/>
    </xf>
    <xf numFmtId="0" fontId="17" fillId="10" borderId="15" xfId="2" applyFont="1" applyFill="1" applyBorder="1" applyAlignment="1">
      <alignment horizontal="left" vertical="center"/>
    </xf>
    <xf numFmtId="167" fontId="10" fillId="10" borderId="0" xfId="2" applyNumberFormat="1" applyFont="1" applyFill="1" applyAlignment="1">
      <alignment horizontal="center" vertical="center"/>
    </xf>
    <xf numFmtId="3" fontId="19" fillId="5" borderId="1" xfId="0" applyNumberFormat="1" applyFont="1" applyFill="1" applyBorder="1"/>
    <xf numFmtId="3" fontId="19" fillId="0" borderId="1" xfId="0" applyNumberFormat="1" applyFont="1" applyBorder="1"/>
    <xf numFmtId="3" fontId="20" fillId="5" borderId="1" xfId="0" applyNumberFormat="1" applyFont="1" applyFill="1" applyBorder="1"/>
    <xf numFmtId="3" fontId="19" fillId="4" borderId="1" xfId="0" applyNumberFormat="1" applyFont="1" applyFill="1" applyBorder="1"/>
    <xf numFmtId="3" fontId="1" fillId="4" borderId="1" xfId="0" applyNumberFormat="1" applyFont="1" applyFill="1" applyBorder="1"/>
    <xf numFmtId="0" fontId="0" fillId="15" borderId="1" xfId="0" applyFill="1" applyBorder="1"/>
    <xf numFmtId="3" fontId="19" fillId="15" borderId="1" xfId="0" applyNumberFormat="1" applyFont="1" applyFill="1" applyBorder="1"/>
    <xf numFmtId="0" fontId="0" fillId="15" borderId="3" xfId="0" applyFill="1" applyBorder="1" applyAlignment="1">
      <alignment horizontal="left"/>
    </xf>
    <xf numFmtId="167" fontId="13" fillId="0" borderId="17" xfId="2" applyNumberFormat="1" applyFont="1" applyBorder="1" applyAlignment="1">
      <alignment horizontal="center" vertical="center"/>
    </xf>
    <xf numFmtId="3" fontId="2" fillId="10" borderId="0" xfId="0" applyNumberFormat="1" applyFont="1" applyFill="1"/>
    <xf numFmtId="0" fontId="21" fillId="10" borderId="0" xfId="0" applyFont="1" applyFill="1"/>
    <xf numFmtId="3" fontId="19" fillId="15" borderId="2" xfId="0" applyNumberFormat="1" applyFont="1" applyFill="1" applyBorder="1"/>
    <xf numFmtId="3" fontId="19" fillId="4" borderId="2" xfId="0" applyNumberFormat="1" applyFont="1" applyFill="1" applyBorder="1"/>
    <xf numFmtId="0" fontId="21" fillId="10" borderId="20" xfId="0" applyFont="1" applyFill="1" applyBorder="1"/>
    <xf numFmtId="0" fontId="21" fillId="10" borderId="21" xfId="0" applyFont="1" applyFill="1" applyBorder="1"/>
    <xf numFmtId="0" fontId="21" fillId="10" borderId="22" xfId="0" applyFont="1" applyFill="1" applyBorder="1"/>
    <xf numFmtId="3" fontId="21" fillId="10" borderId="23" xfId="0" applyNumberFormat="1" applyFont="1" applyFill="1" applyBorder="1"/>
    <xf numFmtId="0" fontId="21" fillId="10" borderId="19" xfId="0" applyFont="1" applyFill="1" applyBorder="1"/>
    <xf numFmtId="0" fontId="21" fillId="10" borderId="24" xfId="0" applyFont="1" applyFill="1" applyBorder="1"/>
    <xf numFmtId="3" fontId="22" fillId="5" borderId="1" xfId="0" applyNumberFormat="1" applyFont="1" applyFill="1" applyBorder="1"/>
    <xf numFmtId="3" fontId="22" fillId="4" borderId="1" xfId="0" applyNumberFormat="1" applyFont="1" applyFill="1" applyBorder="1"/>
    <xf numFmtId="168" fontId="22" fillId="4" borderId="1" xfId="0" applyNumberFormat="1" applyFont="1" applyFill="1" applyBorder="1"/>
    <xf numFmtId="4" fontId="22" fillId="4" borderId="1" xfId="0" applyNumberFormat="1" applyFont="1" applyFill="1" applyBorder="1"/>
    <xf numFmtId="3" fontId="23" fillId="4" borderId="1" xfId="0" applyNumberFormat="1" applyFont="1" applyFill="1" applyBorder="1"/>
    <xf numFmtId="3" fontId="20" fillId="4" borderId="1" xfId="0" applyNumberFormat="1" applyFont="1" applyFill="1" applyBorder="1"/>
    <xf numFmtId="0" fontId="10" fillId="0" borderId="15" xfId="2" applyFont="1" applyBorder="1" applyAlignment="1">
      <alignment horizontal="left" vertical="center"/>
    </xf>
    <xf numFmtId="167" fontId="10" fillId="0" borderId="0" xfId="2" applyNumberFormat="1" applyFont="1" applyAlignment="1">
      <alignment horizontal="center" vertical="center"/>
    </xf>
    <xf numFmtId="0" fontId="24" fillId="10" borderId="15" xfId="2" applyFont="1" applyFill="1" applyBorder="1" applyAlignment="1">
      <alignment horizontal="left" vertical="center"/>
    </xf>
    <xf numFmtId="167" fontId="25" fillId="10" borderId="0" xfId="2" applyNumberFormat="1" applyFont="1" applyFill="1" applyAlignment="1">
      <alignment horizontal="center" vertical="center"/>
    </xf>
    <xf numFmtId="167" fontId="13" fillId="0" borderId="0" xfId="2" applyNumberFormat="1" applyFont="1" applyAlignment="1">
      <alignment horizontal="center" vertical="center"/>
    </xf>
    <xf numFmtId="0" fontId="24" fillId="10" borderId="16" xfId="2" applyFont="1" applyFill="1" applyBorder="1" applyAlignment="1">
      <alignment horizontal="left" vertical="center"/>
    </xf>
    <xf numFmtId="0" fontId="0" fillId="0" borderId="3" xfId="0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/>
    <xf numFmtId="3" fontId="1" fillId="0" borderId="2" xfId="0" applyNumberFormat="1" applyFont="1" applyBorder="1"/>
    <xf numFmtId="168" fontId="1" fillId="0" borderId="1" xfId="0" applyNumberFormat="1" applyFont="1" applyBorder="1"/>
    <xf numFmtId="3" fontId="1" fillId="6" borderId="1" xfId="0" applyNumberFormat="1" applyFont="1" applyFill="1" applyBorder="1"/>
    <xf numFmtId="3" fontId="1" fillId="5" borderId="1" xfId="0" applyNumberFormat="1" applyFont="1" applyFill="1" applyBorder="1"/>
    <xf numFmtId="3" fontId="0" fillId="0" borderId="0" xfId="0" applyNumberFormat="1"/>
    <xf numFmtId="167" fontId="2" fillId="0" borderId="0" xfId="0" applyNumberFormat="1" applyFont="1"/>
    <xf numFmtId="0" fontId="0" fillId="0" borderId="0" xfId="0" applyAlignment="1">
      <alignment wrapText="1"/>
    </xf>
    <xf numFmtId="167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9" fillId="10" borderId="0" xfId="0" applyFont="1" applyFill="1"/>
    <xf numFmtId="3" fontId="0" fillId="4" borderId="0" xfId="0" applyNumberFormat="1" applyFill="1"/>
    <xf numFmtId="0" fontId="0" fillId="16" borderId="1" xfId="0" applyFill="1" applyBorder="1"/>
    <xf numFmtId="3" fontId="1" fillId="16" borderId="1" xfId="0" applyNumberFormat="1" applyFont="1" applyFill="1" applyBorder="1"/>
    <xf numFmtId="0" fontId="26" fillId="16" borderId="1" xfId="0" applyFont="1" applyFill="1" applyBorder="1"/>
    <xf numFmtId="3" fontId="26" fillId="16" borderId="1" xfId="0" applyNumberFormat="1" applyFont="1" applyFill="1" applyBorder="1"/>
    <xf numFmtId="0" fontId="24" fillId="16" borderId="15" xfId="2" applyFont="1" applyFill="1" applyBorder="1" applyAlignment="1">
      <alignment horizontal="left" vertical="center"/>
    </xf>
    <xf numFmtId="167" fontId="13" fillId="16" borderId="0" xfId="2" applyNumberFormat="1" applyFont="1" applyFill="1" applyAlignment="1">
      <alignment horizontal="center" vertical="center"/>
    </xf>
    <xf numFmtId="3" fontId="21" fillId="10" borderId="19" xfId="0" applyNumberFormat="1" applyFont="1" applyFill="1" applyBorder="1"/>
    <xf numFmtId="0" fontId="1" fillId="4" borderId="1" xfId="0" applyFont="1" applyFill="1" applyBorder="1"/>
    <xf numFmtId="0" fontId="1" fillId="0" borderId="1" xfId="0" applyFont="1" applyBorder="1"/>
    <xf numFmtId="3" fontId="20" fillId="0" borderId="1" xfId="0" applyNumberFormat="1" applyFont="1" applyBorder="1"/>
    <xf numFmtId="3" fontId="27" fillId="0" borderId="1" xfId="0" applyNumberFormat="1" applyFont="1" applyBorder="1"/>
    <xf numFmtId="3" fontId="28" fillId="0" borderId="1" xfId="0" applyNumberFormat="1" applyFont="1" applyBorder="1"/>
    <xf numFmtId="0" fontId="0" fillId="0" borderId="3" xfId="0" applyBorder="1"/>
    <xf numFmtId="0" fontId="10" fillId="11" borderId="0" xfId="2" applyFont="1" applyFill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24" fillId="10" borderId="0" xfId="2" applyFont="1" applyFill="1" applyAlignment="1">
      <alignment horizontal="left" vertical="center"/>
    </xf>
    <xf numFmtId="0" fontId="17" fillId="10" borderId="0" xfId="2" applyFont="1" applyFill="1" applyAlignment="1">
      <alignment horizontal="left" vertical="center"/>
    </xf>
    <xf numFmtId="0" fontId="24" fillId="16" borderId="0" xfId="2" applyFont="1" applyFill="1" applyAlignment="1">
      <alignment horizontal="left" vertical="center"/>
    </xf>
    <xf numFmtId="0" fontId="24" fillId="10" borderId="17" xfId="2" applyFont="1" applyFill="1" applyBorder="1" applyAlignment="1">
      <alignment horizontal="left" vertical="center"/>
    </xf>
    <xf numFmtId="0" fontId="9" fillId="10" borderId="18" xfId="2" applyFont="1" applyFill="1" applyBorder="1" applyAlignment="1">
      <alignment horizontal="left" vertical="center"/>
    </xf>
    <xf numFmtId="0" fontId="0" fillId="0" borderId="25" xfId="0" applyBorder="1"/>
    <xf numFmtId="0" fontId="0" fillId="17" borderId="1" xfId="0" applyFill="1" applyBorder="1"/>
    <xf numFmtId="3" fontId="27" fillId="17" borderId="1" xfId="0" applyNumberFormat="1" applyFont="1" applyFill="1" applyBorder="1"/>
    <xf numFmtId="0" fontId="0" fillId="3" borderId="3" xfId="0" applyFill="1" applyBorder="1" applyAlignment="1">
      <alignment horizontal="left"/>
    </xf>
    <xf numFmtId="3" fontId="27" fillId="3" borderId="1" xfId="0" applyNumberFormat="1" applyFont="1" applyFill="1" applyBorder="1"/>
    <xf numFmtId="3" fontId="1" fillId="3" borderId="1" xfId="0" applyNumberFormat="1" applyFont="1" applyFill="1" applyBorder="1"/>
    <xf numFmtId="3" fontId="27" fillId="0" borderId="26" xfId="0" applyNumberFormat="1" applyFont="1" applyBorder="1"/>
    <xf numFmtId="3" fontId="1" fillId="0" borderId="27" xfId="0" applyNumberFormat="1" applyFont="1" applyBorder="1"/>
    <xf numFmtId="0" fontId="30" fillId="0" borderId="0" xfId="0" applyFont="1"/>
    <xf numFmtId="4" fontId="30" fillId="0" borderId="0" xfId="0" applyNumberFormat="1" applyFont="1" applyAlignment="1">
      <alignment horizontal="right"/>
    </xf>
    <xf numFmtId="0" fontId="31" fillId="0" borderId="0" xfId="0" applyFont="1"/>
    <xf numFmtId="4" fontId="31" fillId="0" borderId="0" xfId="0" applyNumberFormat="1" applyFont="1" applyAlignment="1">
      <alignment horizontal="right"/>
    </xf>
    <xf numFmtId="0" fontId="32" fillId="0" borderId="0" xfId="0" applyFont="1"/>
    <xf numFmtId="4" fontId="32" fillId="0" borderId="0" xfId="0" applyNumberFormat="1" applyFont="1" applyAlignment="1">
      <alignment horizontal="right"/>
    </xf>
    <xf numFmtId="164" fontId="30" fillId="0" borderId="0" xfId="3" applyFont="1"/>
    <xf numFmtId="0" fontId="32" fillId="10" borderId="0" xfId="0" applyFont="1" applyFill="1"/>
    <xf numFmtId="164" fontId="32" fillId="10" borderId="0" xfId="3" applyFont="1" applyFill="1"/>
    <xf numFmtId="4" fontId="32" fillId="10" borderId="0" xfId="0" applyNumberFormat="1" applyFont="1" applyFill="1" applyAlignment="1">
      <alignment horizontal="right"/>
    </xf>
    <xf numFmtId="0" fontId="30" fillId="10" borderId="0" xfId="0" applyFont="1" applyFill="1"/>
    <xf numFmtId="164" fontId="33" fillId="10" borderId="0" xfId="3" applyFont="1" applyFill="1" applyAlignment="1">
      <alignment horizontal="center"/>
    </xf>
    <xf numFmtId="4" fontId="30" fillId="10" borderId="0" xfId="0" applyNumberFormat="1" applyFont="1" applyFill="1" applyAlignment="1">
      <alignment horizontal="right"/>
    </xf>
    <xf numFmtId="164" fontId="30" fillId="10" borderId="0" xfId="3" applyFont="1" applyFill="1"/>
    <xf numFmtId="0" fontId="31" fillId="10" borderId="0" xfId="0" applyFont="1" applyFill="1"/>
    <xf numFmtId="164" fontId="31" fillId="10" borderId="0" xfId="3" applyFont="1" applyFill="1"/>
    <xf numFmtId="4" fontId="31" fillId="10" borderId="0" xfId="0" applyNumberFormat="1" applyFont="1" applyFill="1" applyAlignment="1">
      <alignment horizontal="right"/>
    </xf>
    <xf numFmtId="164" fontId="33" fillId="10" borderId="0" xfId="3" applyFont="1" applyFill="1"/>
    <xf numFmtId="0" fontId="30" fillId="10" borderId="0" xfId="0" applyFont="1" applyFill="1" applyAlignment="1">
      <alignment wrapText="1"/>
    </xf>
    <xf numFmtId="0" fontId="34" fillId="10" borderId="0" xfId="0" applyFont="1" applyFill="1"/>
    <xf numFmtId="4" fontId="35" fillId="10" borderId="0" xfId="0" applyNumberFormat="1" applyFont="1" applyFill="1" applyAlignment="1">
      <alignment horizontal="right"/>
    </xf>
    <xf numFmtId="4" fontId="30" fillId="10" borderId="0" xfId="0" applyNumberFormat="1" applyFont="1" applyFill="1" applyAlignment="1">
      <alignment horizontal="right" wrapText="1"/>
    </xf>
    <xf numFmtId="0" fontId="5" fillId="9" borderId="19" xfId="0" applyFont="1" applyFill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Normal 10" xfId="1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09"/>
  <sheetViews>
    <sheetView showGridLines="0" workbookViewId="0">
      <pane xSplit="1" ySplit="3" topLeftCell="B124" activePane="bottomRight" state="frozen"/>
      <selection pane="topRight" activeCell="B1" sqref="B1"/>
      <selection pane="bottomLeft" activeCell="A4" sqref="A4"/>
      <selection pane="bottomRight" activeCell="A146" sqref="A146"/>
    </sheetView>
  </sheetViews>
  <sheetFormatPr defaultRowHeight="15" outlineLevelRow="1" x14ac:dyDescent="0.25"/>
  <cols>
    <col min="1" max="1" width="52" bestFit="1" customWidth="1"/>
    <col min="2" max="2" width="11.42578125" bestFit="1" customWidth="1"/>
    <col min="3" max="3" width="14" bestFit="1" customWidth="1"/>
    <col min="4" max="4" width="8.5703125" bestFit="1" customWidth="1"/>
    <col min="6" max="6" width="11.42578125" bestFit="1" customWidth="1"/>
    <col min="7" max="7" width="4" bestFit="1" customWidth="1"/>
    <col min="11" max="11" width="22.7109375" bestFit="1" customWidth="1"/>
    <col min="12" max="12" width="10.85546875" customWidth="1"/>
    <col min="13" max="13" width="14" bestFit="1" customWidth="1"/>
    <col min="14" max="14" width="19" bestFit="1" customWidth="1"/>
    <col min="15" max="15" width="20.42578125" bestFit="1" customWidth="1"/>
  </cols>
  <sheetData>
    <row r="1" spans="1:16" x14ac:dyDescent="0.25">
      <c r="J1" s="48"/>
      <c r="K1" s="48"/>
      <c r="L1" s="48"/>
      <c r="M1" s="48"/>
      <c r="N1" s="48"/>
      <c r="O1" s="48"/>
    </row>
    <row r="2" spans="1:16" x14ac:dyDescent="0.25">
      <c r="J2" s="48"/>
      <c r="K2" s="48"/>
      <c r="L2" s="48"/>
      <c r="M2" s="48"/>
      <c r="N2" s="48"/>
      <c r="O2" s="48"/>
    </row>
    <row r="3" spans="1:16" s="1" customFormat="1" x14ac:dyDescent="0.25">
      <c r="J3" s="49"/>
      <c r="K3" s="49"/>
      <c r="L3" s="49"/>
      <c r="M3" s="49"/>
      <c r="N3" s="49"/>
      <c r="O3" s="49"/>
    </row>
    <row r="4" spans="1:16" s="1" customFormat="1" x14ac:dyDescent="0.25">
      <c r="A4" s="46" t="s">
        <v>139</v>
      </c>
      <c r="B4" s="47">
        <v>4.2857142857142856</v>
      </c>
      <c r="C4" s="49"/>
      <c r="D4" s="49"/>
      <c r="J4" s="49"/>
      <c r="O4" s="49"/>
    </row>
    <row r="5" spans="1:16" x14ac:dyDescent="0.25">
      <c r="A5" s="48"/>
      <c r="B5" s="48"/>
      <c r="C5" s="48"/>
      <c r="D5" s="48"/>
      <c r="J5" s="49"/>
      <c r="O5" s="48"/>
      <c r="P5" s="48"/>
    </row>
    <row r="6" spans="1:16" ht="15.75" x14ac:dyDescent="0.25">
      <c r="A6" s="30" t="s">
        <v>118</v>
      </c>
      <c r="B6" s="150" t="s">
        <v>117</v>
      </c>
      <c r="C6" s="150"/>
      <c r="D6" s="150"/>
      <c r="J6" s="49"/>
      <c r="O6" s="48"/>
    </row>
    <row r="7" spans="1:16" ht="16.5" thickBot="1" x14ac:dyDescent="0.3">
      <c r="A7" s="30" t="s">
        <v>144</v>
      </c>
      <c r="B7" s="50" t="s">
        <v>140</v>
      </c>
      <c r="C7" s="50" t="s">
        <v>141</v>
      </c>
      <c r="D7" s="51" t="s">
        <v>142</v>
      </c>
      <c r="J7" s="49"/>
      <c r="O7" s="48"/>
    </row>
    <row r="8" spans="1:16" ht="15.75" thickTop="1" x14ac:dyDescent="0.25">
      <c r="A8" s="31" t="s">
        <v>119</v>
      </c>
      <c r="B8" s="38"/>
      <c r="C8" s="48"/>
      <c r="D8" s="48"/>
      <c r="J8" s="49"/>
      <c r="O8" s="48"/>
    </row>
    <row r="9" spans="1:16" x14ac:dyDescent="0.25">
      <c r="A9" s="32" t="s">
        <v>120</v>
      </c>
      <c r="B9" s="39">
        <f>182.27916*B4</f>
        <v>781.19639999999993</v>
      </c>
      <c r="C9" s="39">
        <f>C10</f>
        <v>480</v>
      </c>
      <c r="D9" s="39">
        <f>C9-B9</f>
        <v>-301.19639999999993</v>
      </c>
      <c r="J9" s="49"/>
      <c r="O9" s="48"/>
    </row>
    <row r="10" spans="1:16" x14ac:dyDescent="0.25">
      <c r="A10" s="79" t="s">
        <v>2</v>
      </c>
      <c r="B10" s="80"/>
      <c r="C10" s="80">
        <f>F95</f>
        <v>480</v>
      </c>
      <c r="D10" s="80"/>
      <c r="J10" s="49"/>
      <c r="O10" s="48"/>
    </row>
    <row r="11" spans="1:16" x14ac:dyDescent="0.25">
      <c r="A11" s="33"/>
      <c r="B11" s="40"/>
      <c r="C11" s="40"/>
      <c r="D11" s="40"/>
      <c r="J11" s="49"/>
      <c r="O11" s="48"/>
    </row>
    <row r="12" spans="1:16" x14ac:dyDescent="0.25">
      <c r="A12" s="33" t="s">
        <v>121</v>
      </c>
      <c r="B12" s="40">
        <f>-187.89918*B4</f>
        <v>-805.28219999999999</v>
      </c>
      <c r="C12" s="40">
        <f>-SUM(B110,B111:E111,D145:E145)</f>
        <v>-805.99577999999997</v>
      </c>
      <c r="D12" s="40">
        <f>C12-B12</f>
        <v>-0.71357999999997901</v>
      </c>
      <c r="J12" s="49"/>
      <c r="O12" s="48"/>
    </row>
    <row r="13" spans="1:16" outlineLevel="1" x14ac:dyDescent="0.25">
      <c r="A13" s="81" t="s">
        <v>8</v>
      </c>
      <c r="B13" s="40"/>
      <c r="C13" s="82">
        <f>-B110</f>
        <v>-282</v>
      </c>
      <c r="D13" s="40"/>
      <c r="J13" s="49"/>
      <c r="O13" s="48"/>
    </row>
    <row r="14" spans="1:16" outlineLevel="1" x14ac:dyDescent="0.25">
      <c r="A14" s="81" t="s">
        <v>22</v>
      </c>
      <c r="B14" s="40"/>
      <c r="C14" s="82">
        <f>-(+B111+D111+E111)</f>
        <v>-300</v>
      </c>
      <c r="D14" s="40"/>
      <c r="J14" s="49"/>
      <c r="O14" s="48"/>
    </row>
    <row r="15" spans="1:16" outlineLevel="1" x14ac:dyDescent="0.25">
      <c r="A15" s="81" t="s">
        <v>79</v>
      </c>
      <c r="B15" s="40"/>
      <c r="C15" s="82">
        <f>-(+D145+E145)</f>
        <v>-223.99578</v>
      </c>
      <c r="D15" s="40"/>
      <c r="J15" s="49"/>
      <c r="O15" s="48"/>
    </row>
    <row r="16" spans="1:16" x14ac:dyDescent="0.25">
      <c r="A16" s="33"/>
      <c r="B16" s="40"/>
      <c r="C16" s="40"/>
      <c r="D16" s="40"/>
      <c r="J16" s="49"/>
      <c r="O16" s="48"/>
    </row>
    <row r="17" spans="1:15" x14ac:dyDescent="0.25">
      <c r="A17" s="33" t="s">
        <v>122</v>
      </c>
      <c r="B17" s="40">
        <f>-0.38796975*B4</f>
        <v>-1.6627274999999999</v>
      </c>
      <c r="C17" s="40"/>
      <c r="D17" s="40">
        <f>C17-B17</f>
        <v>1.6627274999999999</v>
      </c>
      <c r="J17" s="49"/>
      <c r="O17" s="48"/>
    </row>
    <row r="18" spans="1:15" x14ac:dyDescent="0.25">
      <c r="A18" s="33" t="s">
        <v>123</v>
      </c>
      <c r="B18" s="40">
        <f>-157.880633333333*B4</f>
        <v>-676.63128571428433</v>
      </c>
      <c r="C18" s="40">
        <f>-SUM(B112:F112,C131,C140)-F113-E128</f>
        <v>-736.35199999999998</v>
      </c>
      <c r="D18" s="40">
        <f>C18-B18</f>
        <v>-59.720714285715644</v>
      </c>
      <c r="J18" s="49"/>
      <c r="O18" s="48"/>
    </row>
    <row r="19" spans="1:15" outlineLevel="1" x14ac:dyDescent="0.25">
      <c r="A19" s="81" t="s">
        <v>103</v>
      </c>
      <c r="B19" s="40"/>
      <c r="C19" s="82">
        <f>-(+B112+C112+F112)</f>
        <v>-400</v>
      </c>
      <c r="D19" s="40"/>
      <c r="J19" s="49"/>
      <c r="O19" s="48"/>
    </row>
    <row r="20" spans="1:15" outlineLevel="1" x14ac:dyDescent="0.25">
      <c r="A20" s="81" t="s">
        <v>147</v>
      </c>
      <c r="B20" s="40"/>
      <c r="C20" s="82">
        <f>-F113</f>
        <v>-181</v>
      </c>
      <c r="D20" s="40"/>
      <c r="J20" s="49"/>
      <c r="O20" s="48"/>
    </row>
    <row r="21" spans="1:15" outlineLevel="1" x14ac:dyDescent="0.25">
      <c r="A21" s="81" t="s">
        <v>146</v>
      </c>
      <c r="B21" s="40"/>
      <c r="C21" s="82">
        <f>-E128</f>
        <v>-128</v>
      </c>
      <c r="D21" s="40"/>
      <c r="J21" s="49"/>
      <c r="O21" s="48"/>
    </row>
    <row r="22" spans="1:15" outlineLevel="1" x14ac:dyDescent="0.25">
      <c r="A22" s="81" t="s">
        <v>109</v>
      </c>
      <c r="B22" s="40"/>
      <c r="C22" s="82">
        <f>-C131</f>
        <v>-23.352</v>
      </c>
      <c r="D22" s="40"/>
      <c r="J22" s="49"/>
      <c r="O22" s="48"/>
    </row>
    <row r="23" spans="1:15" outlineLevel="1" x14ac:dyDescent="0.25">
      <c r="A23" s="81" t="s">
        <v>98</v>
      </c>
      <c r="B23" s="40"/>
      <c r="C23" s="82">
        <f>-C140</f>
        <v>-4</v>
      </c>
      <c r="D23" s="40"/>
      <c r="J23" s="49"/>
      <c r="O23" s="48"/>
    </row>
    <row r="24" spans="1:15" x14ac:dyDescent="0.25">
      <c r="A24" s="52" t="s">
        <v>143</v>
      </c>
      <c r="B24" s="53">
        <f>-16*B4</f>
        <v>-68.571428571428569</v>
      </c>
      <c r="C24" s="53">
        <f>-SUM(E150)-D134</f>
        <v>-79.300000000000011</v>
      </c>
      <c r="D24" s="53">
        <f>C24-B24</f>
        <v>-10.728571428571442</v>
      </c>
      <c r="J24" s="49"/>
      <c r="O24" s="48"/>
    </row>
    <row r="25" spans="1:15" outlineLevel="1" x14ac:dyDescent="0.25">
      <c r="A25" s="81" t="s">
        <v>149</v>
      </c>
      <c r="B25" s="53"/>
      <c r="C25" s="82">
        <f>-D134</f>
        <v>-37.300000000000004</v>
      </c>
      <c r="D25" s="53"/>
      <c r="J25" s="49"/>
      <c r="O25" s="48"/>
    </row>
    <row r="26" spans="1:15" outlineLevel="1" x14ac:dyDescent="0.25">
      <c r="A26" s="81" t="s">
        <v>71</v>
      </c>
      <c r="B26" s="53"/>
      <c r="C26" s="82">
        <f>-E150</f>
        <v>-42</v>
      </c>
      <c r="D26" s="53"/>
      <c r="J26" s="49"/>
      <c r="O26" s="48"/>
    </row>
    <row r="27" spans="1:15" x14ac:dyDescent="0.25">
      <c r="A27" s="33" t="s">
        <v>124</v>
      </c>
      <c r="B27" s="40">
        <f>-(142.12972657685*B4)-B24</f>
        <v>-540.5559710436429</v>
      </c>
      <c r="C27" s="83">
        <f>-SUM(B115,D118:F118,B120,B121,B124:F124,B125:E125,B126:F126,E132,C141,C142,D143,D144,D147,D148,D149,E151,D122,E122,C136,C138)</f>
        <v>-523.49559499999998</v>
      </c>
      <c r="D27" s="40">
        <f>C27-B27</f>
        <v>17.060376043642918</v>
      </c>
      <c r="J27" s="49"/>
      <c r="O27" s="48"/>
    </row>
    <row r="28" spans="1:15" outlineLevel="1" x14ac:dyDescent="0.25">
      <c r="A28" s="81" t="s">
        <v>29</v>
      </c>
      <c r="B28" s="40"/>
      <c r="C28" s="83">
        <f>-B115</f>
        <v>-40</v>
      </c>
      <c r="D28" s="40"/>
      <c r="J28" s="49"/>
      <c r="O28" s="48"/>
    </row>
    <row r="29" spans="1:15" outlineLevel="1" x14ac:dyDescent="0.25">
      <c r="A29" s="81" t="s">
        <v>9</v>
      </c>
      <c r="B29" s="40"/>
      <c r="C29" s="83">
        <f>-D118-E118-F118</f>
        <v>-31.9</v>
      </c>
      <c r="D29" s="40"/>
      <c r="J29" s="49"/>
      <c r="O29" s="48"/>
    </row>
    <row r="30" spans="1:15" outlineLevel="1" x14ac:dyDescent="0.25">
      <c r="A30" s="81" t="s">
        <v>111</v>
      </c>
      <c r="B30" s="40"/>
      <c r="C30" s="83">
        <f>-B120</f>
        <v>-8.4</v>
      </c>
      <c r="D30" s="40"/>
      <c r="J30" s="49"/>
      <c r="O30" s="48"/>
    </row>
    <row r="31" spans="1:15" outlineLevel="1" x14ac:dyDescent="0.25">
      <c r="A31" s="81" t="s">
        <v>45</v>
      </c>
      <c r="B31" s="40"/>
      <c r="C31" s="83">
        <f>-B121</f>
        <v>-6.72</v>
      </c>
      <c r="D31" s="40"/>
      <c r="J31" s="49"/>
      <c r="O31" s="48"/>
    </row>
    <row r="32" spans="1:15" outlineLevel="1" x14ac:dyDescent="0.25">
      <c r="A32" s="81" t="s">
        <v>52</v>
      </c>
      <c r="B32" s="40"/>
      <c r="C32" s="83">
        <f>-SUM(B124:F124)</f>
        <v>-10.119399999999999</v>
      </c>
      <c r="D32" s="40"/>
      <c r="J32" s="49"/>
      <c r="O32" s="48"/>
    </row>
    <row r="33" spans="1:15" outlineLevel="1" x14ac:dyDescent="0.25">
      <c r="A33" s="81" t="s">
        <v>56</v>
      </c>
      <c r="B33" s="40"/>
      <c r="C33" s="83">
        <f>-SUM(B125:F125)</f>
        <v>-4.22499</v>
      </c>
      <c r="D33" s="40"/>
      <c r="J33" s="49"/>
      <c r="O33" s="48"/>
    </row>
    <row r="34" spans="1:15" outlineLevel="1" x14ac:dyDescent="0.25">
      <c r="A34" s="81" t="s">
        <v>12</v>
      </c>
      <c r="B34" s="40"/>
      <c r="C34" s="83">
        <f>-SUM(B126:F126)</f>
        <v>-11.58535</v>
      </c>
      <c r="D34" s="40"/>
      <c r="J34" s="49"/>
      <c r="O34" s="48"/>
    </row>
    <row r="35" spans="1:15" outlineLevel="1" x14ac:dyDescent="0.25">
      <c r="A35" s="81" t="s">
        <v>68</v>
      </c>
      <c r="B35" s="40"/>
      <c r="C35" s="83">
        <f>-E132</f>
        <v>-21.833955</v>
      </c>
      <c r="D35" s="40"/>
      <c r="J35" s="49"/>
      <c r="O35" s="48"/>
    </row>
    <row r="36" spans="1:15" outlineLevel="1" x14ac:dyDescent="0.25">
      <c r="A36" s="81" t="s">
        <v>42</v>
      </c>
      <c r="B36" s="40"/>
      <c r="C36" s="83">
        <f>-C141</f>
        <v>-2.8653499999999998</v>
      </c>
      <c r="D36" s="40"/>
      <c r="J36" s="49"/>
      <c r="O36" s="48"/>
    </row>
    <row r="37" spans="1:15" outlineLevel="1" x14ac:dyDescent="0.25">
      <c r="A37" s="81" t="s">
        <v>76</v>
      </c>
      <c r="B37" s="40"/>
      <c r="C37" s="83">
        <f>-C142</f>
        <v>-0.42165999999999998</v>
      </c>
      <c r="D37" s="40"/>
      <c r="J37" s="49"/>
      <c r="O37" s="48"/>
    </row>
    <row r="38" spans="1:15" outlineLevel="1" x14ac:dyDescent="0.25">
      <c r="A38" s="81" t="s">
        <v>30</v>
      </c>
      <c r="B38" s="40"/>
      <c r="C38" s="83">
        <f>-D143</f>
        <v>-170</v>
      </c>
      <c r="D38" s="40"/>
      <c r="J38" s="49"/>
      <c r="O38" s="48"/>
    </row>
    <row r="39" spans="1:15" outlineLevel="1" x14ac:dyDescent="0.25">
      <c r="A39" s="81" t="s">
        <v>15</v>
      </c>
      <c r="B39" s="40"/>
      <c r="C39" s="83">
        <f>-D144</f>
        <v>-168.286</v>
      </c>
      <c r="D39" s="40"/>
      <c r="J39" s="49"/>
      <c r="O39" s="48"/>
    </row>
    <row r="40" spans="1:15" outlineLevel="1" x14ac:dyDescent="0.25">
      <c r="A40" s="81" t="s">
        <v>13</v>
      </c>
      <c r="B40" s="40"/>
      <c r="C40" s="83">
        <f>-D147</f>
        <v>-7</v>
      </c>
      <c r="D40" s="40"/>
      <c r="J40" s="49"/>
      <c r="O40" s="48"/>
    </row>
    <row r="41" spans="1:15" outlineLevel="1" x14ac:dyDescent="0.25">
      <c r="A41" s="81" t="s">
        <v>41</v>
      </c>
      <c r="B41" s="40"/>
      <c r="C41" s="83">
        <f>-D148</f>
        <v>-5.8849999999999998</v>
      </c>
      <c r="D41" s="40"/>
      <c r="J41" s="49"/>
      <c r="O41" s="48"/>
    </row>
    <row r="42" spans="1:15" outlineLevel="1" x14ac:dyDescent="0.25">
      <c r="A42" s="81" t="s">
        <v>36</v>
      </c>
      <c r="B42" s="40"/>
      <c r="C42" s="83">
        <f>-D149</f>
        <v>-2.7996599999999998</v>
      </c>
      <c r="D42" s="40"/>
      <c r="J42" s="49"/>
      <c r="O42" s="48"/>
    </row>
    <row r="43" spans="1:15" outlineLevel="1" x14ac:dyDescent="0.25">
      <c r="A43" s="81" t="s">
        <v>54</v>
      </c>
      <c r="B43" s="40"/>
      <c r="C43" s="83">
        <f>-E151</f>
        <v>-15.320029999999999</v>
      </c>
      <c r="D43" s="40"/>
      <c r="J43" s="49"/>
      <c r="O43" s="48"/>
    </row>
    <row r="44" spans="1:15" outlineLevel="1" x14ac:dyDescent="0.25">
      <c r="A44" s="81" t="s">
        <v>73</v>
      </c>
      <c r="B44" s="40"/>
      <c r="C44" s="83">
        <f>-SUM(D122:E122)</f>
        <v>-5.3986499999999999</v>
      </c>
      <c r="D44" s="40"/>
      <c r="J44" s="49"/>
      <c r="O44" s="48"/>
    </row>
    <row r="45" spans="1:15" outlineLevel="1" x14ac:dyDescent="0.25">
      <c r="A45" s="81" t="s">
        <v>28</v>
      </c>
      <c r="B45" s="40"/>
      <c r="C45" s="83">
        <f>-C136</f>
        <v>-10</v>
      </c>
      <c r="D45" s="40"/>
      <c r="J45" s="49"/>
      <c r="O45" s="48"/>
    </row>
    <row r="46" spans="1:15" outlineLevel="1" x14ac:dyDescent="0.25">
      <c r="A46" s="84" t="s">
        <v>150</v>
      </c>
      <c r="B46" s="41"/>
      <c r="C46" s="62">
        <f>-C138</f>
        <v>-0.73555000000000004</v>
      </c>
      <c r="D46" s="41"/>
      <c r="J46" s="49"/>
      <c r="O46" s="48"/>
    </row>
    <row r="47" spans="1:15" x14ac:dyDescent="0.25">
      <c r="A47" s="34"/>
      <c r="B47" s="40"/>
      <c r="C47" s="40"/>
      <c r="D47" s="40"/>
      <c r="J47" s="49"/>
      <c r="O47" s="48"/>
    </row>
    <row r="48" spans="1:15" x14ac:dyDescent="0.25">
      <c r="A48" s="35" t="s">
        <v>134</v>
      </c>
      <c r="B48" s="42">
        <f>B9+B12+B17+B18+B24+B27</f>
        <v>-1311.5072128293559</v>
      </c>
      <c r="C48" s="42">
        <f>C9+C12+C17+C18+C24+C27</f>
        <v>-1665.1433750000001</v>
      </c>
      <c r="D48" s="42">
        <f>D9+D12+D17+D18+D24+D27</f>
        <v>-353.63616217064407</v>
      </c>
      <c r="J48" s="49"/>
      <c r="O48" s="48"/>
    </row>
    <row r="49" spans="1:15" s="1" customFormat="1" x14ac:dyDescent="0.25">
      <c r="A49" s="34"/>
      <c r="B49" s="40"/>
      <c r="C49" s="40"/>
      <c r="D49" s="40"/>
      <c r="J49" s="49"/>
      <c r="O49" s="49"/>
    </row>
    <row r="50" spans="1:15" s="1" customFormat="1" x14ac:dyDescent="0.25">
      <c r="A50" s="31" t="s">
        <v>125</v>
      </c>
      <c r="B50" s="43">
        <f>-134.32125*B4</f>
        <v>-575.66249999999991</v>
      </c>
      <c r="C50" s="43">
        <f>-SUM(C129,C133,D137)-C137-E133</f>
        <v>-95.096589999999992</v>
      </c>
      <c r="D50" s="43">
        <f>C50-B50</f>
        <v>480.56590999999992</v>
      </c>
      <c r="J50" s="49"/>
      <c r="O50" s="49"/>
    </row>
    <row r="51" spans="1:15" s="1" customFormat="1" outlineLevel="1" x14ac:dyDescent="0.25">
      <c r="A51" s="81" t="s">
        <v>53</v>
      </c>
      <c r="B51" s="40"/>
      <c r="C51" s="40">
        <f>-C129</f>
        <v>-46.063000000000002</v>
      </c>
      <c r="D51" s="40"/>
      <c r="J51" s="49"/>
      <c r="O51" s="49"/>
    </row>
    <row r="52" spans="1:15" s="1" customFormat="1" outlineLevel="1" x14ac:dyDescent="0.25">
      <c r="A52" s="81" t="s">
        <v>148</v>
      </c>
      <c r="B52" s="40"/>
      <c r="C52" s="40">
        <f>-C133-E133</f>
        <v>-27.314789999999999</v>
      </c>
      <c r="D52" s="40"/>
      <c r="J52" s="49"/>
      <c r="O52" s="49"/>
    </row>
    <row r="53" spans="1:15" s="1" customFormat="1" outlineLevel="1" x14ac:dyDescent="0.25">
      <c r="A53" s="81" t="s">
        <v>151</v>
      </c>
      <c r="B53" s="40"/>
      <c r="C53" s="40">
        <f>-D137-C137</f>
        <v>-21.718800000000002</v>
      </c>
      <c r="D53" s="40"/>
      <c r="J53" s="49"/>
      <c r="O53" s="49"/>
    </row>
    <row r="54" spans="1:15" x14ac:dyDescent="0.25">
      <c r="A54" s="33" t="s">
        <v>126</v>
      </c>
      <c r="B54" s="40">
        <f>-41.65*B4</f>
        <v>-178.5</v>
      </c>
      <c r="C54" s="40">
        <f>-SUM(B119,D131)-D114-SUM(B116:F116)</f>
        <v>-161</v>
      </c>
      <c r="D54" s="40">
        <f>C54-B54</f>
        <v>17.5</v>
      </c>
      <c r="J54" s="49"/>
      <c r="O54" s="48"/>
    </row>
    <row r="55" spans="1:15" outlineLevel="1" x14ac:dyDescent="0.25">
      <c r="A55" s="81" t="s">
        <v>152</v>
      </c>
      <c r="B55" s="40"/>
      <c r="C55" s="40">
        <f>-D114</f>
        <v>-15</v>
      </c>
      <c r="D55" s="40"/>
      <c r="J55" s="49"/>
      <c r="O55" s="48"/>
    </row>
    <row r="56" spans="1:15" outlineLevel="1" x14ac:dyDescent="0.25">
      <c r="A56" s="81" t="s">
        <v>10</v>
      </c>
      <c r="B56" s="40"/>
      <c r="C56" s="40">
        <f>-SUM(B116:F116)</f>
        <v>-80</v>
      </c>
      <c r="D56" s="40"/>
      <c r="J56" s="49"/>
      <c r="O56" s="48"/>
    </row>
    <row r="57" spans="1:15" outlineLevel="1" x14ac:dyDescent="0.25">
      <c r="A57" s="81" t="s">
        <v>43</v>
      </c>
      <c r="B57" s="40"/>
      <c r="C57" s="40">
        <f>-B119</f>
        <v>-9</v>
      </c>
      <c r="D57" s="40"/>
      <c r="J57" s="49"/>
      <c r="O57" s="48"/>
    </row>
    <row r="58" spans="1:15" outlineLevel="1" x14ac:dyDescent="0.25">
      <c r="A58" s="81" t="s">
        <v>109</v>
      </c>
      <c r="B58" s="40"/>
      <c r="C58" s="40">
        <f>-D131</f>
        <v>-57</v>
      </c>
      <c r="D58" s="40"/>
      <c r="J58" s="49"/>
      <c r="O58" s="48"/>
    </row>
    <row r="59" spans="1:15" x14ac:dyDescent="0.25">
      <c r="A59" s="33" t="s">
        <v>127</v>
      </c>
      <c r="B59" s="40">
        <f>-1.10833333333333*B4</f>
        <v>-4.7499999999999858</v>
      </c>
      <c r="C59" s="40"/>
      <c r="D59" s="40">
        <f t="shared" ref="D59:D60" si="0">C59-B59</f>
        <v>4.7499999999999858</v>
      </c>
      <c r="J59" s="49"/>
      <c r="O59" s="48"/>
    </row>
    <row r="60" spans="1:15" x14ac:dyDescent="0.25">
      <c r="A60" s="33" t="s">
        <v>128</v>
      </c>
      <c r="B60" s="40">
        <v>0</v>
      </c>
      <c r="C60" s="40"/>
      <c r="D60" s="40">
        <f t="shared" si="0"/>
        <v>0</v>
      </c>
      <c r="J60" s="49"/>
      <c r="O60" s="48"/>
    </row>
    <row r="61" spans="1:15" x14ac:dyDescent="0.25">
      <c r="A61" s="33" t="s">
        <v>129</v>
      </c>
      <c r="B61" s="40">
        <f>17.9608504555475*B4</f>
        <v>76.975073380917863</v>
      </c>
      <c r="C61" s="40">
        <f>E102-E127</f>
        <v>46</v>
      </c>
      <c r="D61" s="40">
        <f>C61-B61</f>
        <v>-30.975073380917863</v>
      </c>
      <c r="J61" s="49"/>
      <c r="O61" s="48"/>
    </row>
    <row r="62" spans="1:15" outlineLevel="1" x14ac:dyDescent="0.25">
      <c r="A62" s="81" t="s">
        <v>59</v>
      </c>
      <c r="B62" s="40"/>
      <c r="C62" s="40">
        <f>E102</f>
        <v>196</v>
      </c>
      <c r="D62" s="40"/>
      <c r="J62" s="49"/>
      <c r="O62" s="48"/>
    </row>
    <row r="63" spans="1:15" outlineLevel="1" x14ac:dyDescent="0.25">
      <c r="A63" s="84" t="s">
        <v>145</v>
      </c>
      <c r="B63" s="41"/>
      <c r="C63" s="41">
        <f>-E127</f>
        <v>-150</v>
      </c>
      <c r="D63" s="41"/>
      <c r="J63" s="49"/>
      <c r="O63" s="48"/>
    </row>
    <row r="64" spans="1:15" x14ac:dyDescent="0.25">
      <c r="A64" s="34"/>
      <c r="B64" s="40"/>
      <c r="C64" s="40"/>
      <c r="D64" s="40"/>
      <c r="J64" s="49"/>
      <c r="O64" s="48"/>
    </row>
    <row r="65" spans="1:15" x14ac:dyDescent="0.25">
      <c r="A65" s="35" t="s">
        <v>135</v>
      </c>
      <c r="B65" s="42">
        <f>B50+B54+B59+B60+B61</f>
        <v>-681.93742661908209</v>
      </c>
      <c r="C65" s="42">
        <f>C50+C54+C61</f>
        <v>-210.09658999999999</v>
      </c>
      <c r="D65" s="42">
        <f>D50+D54+D59+D60+D61</f>
        <v>471.84083661908204</v>
      </c>
      <c r="J65" s="49"/>
      <c r="O65" s="48"/>
    </row>
    <row r="66" spans="1:15" x14ac:dyDescent="0.25">
      <c r="A66" s="36"/>
      <c r="B66" s="44"/>
      <c r="C66" s="44"/>
      <c r="D66" s="44"/>
      <c r="J66" s="49"/>
      <c r="O66" s="48"/>
    </row>
    <row r="67" spans="1:15" x14ac:dyDescent="0.25">
      <c r="A67" s="37" t="s">
        <v>136</v>
      </c>
      <c r="B67" s="45">
        <f>B65+B48</f>
        <v>-1993.444639448438</v>
      </c>
      <c r="C67" s="45">
        <f>C65+C48</f>
        <v>-1875.2399650000002</v>
      </c>
      <c r="D67" s="45">
        <f t="shared" ref="D67" si="1">D65+D48</f>
        <v>118.20467444843797</v>
      </c>
      <c r="J67" s="49"/>
      <c r="O67" s="48"/>
    </row>
    <row r="68" spans="1:15" x14ac:dyDescent="0.25">
      <c r="A68" s="34"/>
      <c r="B68" s="44"/>
      <c r="C68" s="44"/>
      <c r="D68" s="44"/>
      <c r="J68" s="49"/>
      <c r="O68" s="48"/>
    </row>
    <row r="69" spans="1:15" x14ac:dyDescent="0.25">
      <c r="A69" s="31" t="s">
        <v>130</v>
      </c>
      <c r="B69" s="43">
        <v>0</v>
      </c>
      <c r="C69" s="43"/>
      <c r="D69" s="43"/>
      <c r="J69" s="49"/>
      <c r="O69" s="48"/>
    </row>
    <row r="70" spans="1:15" x14ac:dyDescent="0.25">
      <c r="A70" s="33" t="s">
        <v>131</v>
      </c>
      <c r="B70" s="40">
        <v>0</v>
      </c>
      <c r="C70" s="40"/>
      <c r="D70" s="40"/>
      <c r="J70" s="49"/>
      <c r="O70" s="48"/>
    </row>
    <row r="71" spans="1:15" x14ac:dyDescent="0.25">
      <c r="A71" s="33" t="s">
        <v>132</v>
      </c>
      <c r="B71" s="40">
        <v>0</v>
      </c>
      <c r="C71" s="40"/>
      <c r="D71" s="40"/>
      <c r="J71" s="49"/>
      <c r="O71" s="48"/>
    </row>
    <row r="72" spans="1:15" x14ac:dyDescent="0.25">
      <c r="A72" s="33" t="s">
        <v>133</v>
      </c>
      <c r="B72" s="40">
        <f>-72*B4</f>
        <v>-308.57142857142856</v>
      </c>
      <c r="C72" s="40">
        <f>-SUM(B117:F117,B118,C118,B122,B123,C130,D130,E130,C132,C135,E135,C139,D146,E146)</f>
        <v>-340.91668499999997</v>
      </c>
      <c r="D72" s="40">
        <f>C72-B72</f>
        <v>-32.345256428571417</v>
      </c>
      <c r="J72" s="49"/>
      <c r="O72" s="48"/>
    </row>
    <row r="73" spans="1:15" x14ac:dyDescent="0.25">
      <c r="A73" s="81" t="s">
        <v>80</v>
      </c>
      <c r="B73" s="40"/>
      <c r="C73" s="40">
        <f>-SUM(B117:F117)</f>
        <v>-48.149389999999997</v>
      </c>
      <c r="D73" s="40"/>
      <c r="J73" s="49"/>
      <c r="O73" s="48"/>
    </row>
    <row r="74" spans="1:15" x14ac:dyDescent="0.25">
      <c r="A74" s="81" t="s">
        <v>9</v>
      </c>
      <c r="B74" s="40"/>
      <c r="C74" s="40">
        <f>-B118-C118</f>
        <v>-20.72</v>
      </c>
      <c r="D74" s="40"/>
      <c r="J74" s="49"/>
      <c r="O74" s="48"/>
    </row>
    <row r="75" spans="1:15" x14ac:dyDescent="0.25">
      <c r="A75" s="81" t="s">
        <v>73</v>
      </c>
      <c r="B75" s="40"/>
      <c r="C75" s="40">
        <f>-B122</f>
        <v>-6.5594299999999999</v>
      </c>
      <c r="D75" s="40"/>
      <c r="J75" s="49"/>
      <c r="O75" s="48"/>
    </row>
    <row r="76" spans="1:15" x14ac:dyDescent="0.25">
      <c r="A76" s="81" t="s">
        <v>62</v>
      </c>
      <c r="B76" s="40"/>
      <c r="C76" s="40">
        <f>-B123</f>
        <v>-5.2280000000000006</v>
      </c>
      <c r="D76" s="40"/>
      <c r="J76" s="49"/>
      <c r="O76" s="48"/>
    </row>
    <row r="77" spans="1:15" x14ac:dyDescent="0.25">
      <c r="A77" s="81" t="s">
        <v>24</v>
      </c>
      <c r="B77" s="40"/>
      <c r="C77" s="40">
        <f>-SUM(C130:E130)</f>
        <v>-99.506115000000008</v>
      </c>
      <c r="D77" s="40"/>
      <c r="J77" s="49"/>
      <c r="O77" s="48"/>
    </row>
    <row r="78" spans="1:15" x14ac:dyDescent="0.25">
      <c r="A78" s="81" t="s">
        <v>68</v>
      </c>
      <c r="B78" s="40"/>
      <c r="C78" s="40">
        <f>-C132</f>
        <v>-22.5</v>
      </c>
      <c r="D78" s="40"/>
      <c r="J78" s="49"/>
      <c r="O78" s="48"/>
    </row>
    <row r="79" spans="1:15" x14ac:dyDescent="0.25">
      <c r="A79" s="81" t="s">
        <v>25</v>
      </c>
      <c r="B79" s="40"/>
      <c r="C79" s="40">
        <f>-C135-E135</f>
        <v>-21.513960000000001</v>
      </c>
      <c r="D79" s="40"/>
      <c r="J79" s="49"/>
      <c r="O79" s="48"/>
    </row>
    <row r="80" spans="1:15" x14ac:dyDescent="0.25">
      <c r="A80" s="81" t="s">
        <v>94</v>
      </c>
      <c r="B80" s="40"/>
      <c r="C80" s="40">
        <f>-C139</f>
        <v>-4.9358599999999999</v>
      </c>
      <c r="D80" s="40"/>
      <c r="J80" s="49"/>
      <c r="O80" s="48"/>
    </row>
    <row r="81" spans="1:15" x14ac:dyDescent="0.25">
      <c r="A81" s="84" t="s">
        <v>34</v>
      </c>
      <c r="B81" s="41"/>
      <c r="C81" s="41">
        <f>-D146-E146</f>
        <v>-111.80393000000001</v>
      </c>
      <c r="D81" s="41"/>
      <c r="J81" s="49"/>
      <c r="O81" s="48"/>
    </row>
    <row r="82" spans="1:15" x14ac:dyDescent="0.25">
      <c r="A82" s="34"/>
      <c r="B82" s="44"/>
      <c r="C82" s="44"/>
      <c r="D82" s="44"/>
      <c r="J82" s="49"/>
      <c r="O82" s="48"/>
    </row>
    <row r="83" spans="1:15" x14ac:dyDescent="0.25">
      <c r="A83" s="35" t="s">
        <v>137</v>
      </c>
      <c r="B83" s="42">
        <f>SUM(B69:B72)</f>
        <v>-308.57142857142856</v>
      </c>
      <c r="C83" s="42">
        <f>SUM(C69:C72)</f>
        <v>-340.91668499999997</v>
      </c>
      <c r="D83" s="42">
        <f>SUM(D69:D72)</f>
        <v>-32.345256428571417</v>
      </c>
      <c r="J83" s="49"/>
      <c r="O83" s="48"/>
    </row>
    <row r="84" spans="1:15" x14ac:dyDescent="0.25">
      <c r="A84" s="34"/>
      <c r="B84" s="44"/>
      <c r="C84" s="44"/>
      <c r="D84" s="44"/>
      <c r="J84" s="49"/>
      <c r="O84" s="48"/>
    </row>
    <row r="85" spans="1:15" x14ac:dyDescent="0.25">
      <c r="A85" s="37" t="s">
        <v>138</v>
      </c>
      <c r="B85" s="45">
        <f>B83+B67</f>
        <v>-2302.0160680198665</v>
      </c>
      <c r="C85" s="45">
        <f>C83+C67</f>
        <v>-2216.1566500000004</v>
      </c>
      <c r="D85" s="45">
        <f>D83+D67</f>
        <v>85.859418019866553</v>
      </c>
      <c r="J85" s="49"/>
      <c r="O85" s="48"/>
    </row>
    <row r="86" spans="1:15" x14ac:dyDescent="0.25">
      <c r="J86" s="49"/>
      <c r="K86" s="48"/>
      <c r="L86" s="48"/>
      <c r="M86" s="48"/>
      <c r="N86" s="48"/>
      <c r="O86" s="48"/>
    </row>
    <row r="87" spans="1:15" x14ac:dyDescent="0.25">
      <c r="J87" s="49"/>
      <c r="K87" s="48"/>
      <c r="L87" s="48"/>
      <c r="M87" s="48"/>
      <c r="N87" s="48"/>
      <c r="O87" s="48"/>
    </row>
    <row r="88" spans="1:15" x14ac:dyDescent="0.25">
      <c r="J88" s="49"/>
      <c r="K88" s="48"/>
      <c r="L88" s="48"/>
      <c r="M88" s="48"/>
      <c r="N88" s="48"/>
      <c r="O88" s="48"/>
    </row>
    <row r="89" spans="1:15" x14ac:dyDescent="0.25">
      <c r="J89" s="49"/>
      <c r="K89" s="48"/>
      <c r="L89" s="48"/>
      <c r="M89" s="48"/>
      <c r="N89" s="48"/>
      <c r="O89" s="48"/>
    </row>
    <row r="90" spans="1:15" x14ac:dyDescent="0.25">
      <c r="J90" s="49"/>
      <c r="K90" s="48"/>
      <c r="L90" s="48"/>
      <c r="M90" s="48"/>
      <c r="N90" s="48"/>
      <c r="O90" s="48"/>
    </row>
    <row r="91" spans="1:15" x14ac:dyDescent="0.25">
      <c r="A91" s="2" t="s">
        <v>6</v>
      </c>
      <c r="B91" s="13">
        <v>5</v>
      </c>
      <c r="C91" s="13">
        <v>6</v>
      </c>
      <c r="D91" s="13">
        <v>7</v>
      </c>
      <c r="E91" s="13">
        <v>8</v>
      </c>
      <c r="F91" s="13">
        <v>9</v>
      </c>
      <c r="I91" s="16">
        <v>2017</v>
      </c>
      <c r="J91" s="49"/>
      <c r="K91" s="48"/>
      <c r="L91" s="48"/>
      <c r="M91" s="48"/>
      <c r="N91" s="48"/>
      <c r="O91" s="48"/>
    </row>
    <row r="92" spans="1:15" x14ac:dyDescent="0.25">
      <c r="A92" s="2"/>
      <c r="B92" s="3" t="s">
        <v>104</v>
      </c>
      <c r="C92" s="3" t="s">
        <v>105</v>
      </c>
      <c r="D92" s="3" t="s">
        <v>106</v>
      </c>
      <c r="E92" s="3" t="s">
        <v>107</v>
      </c>
      <c r="F92" s="3" t="s">
        <v>108</v>
      </c>
      <c r="I92" s="17">
        <v>2016</v>
      </c>
      <c r="J92" s="49"/>
      <c r="K92" s="48"/>
      <c r="L92" s="48"/>
      <c r="M92" s="48"/>
      <c r="N92" s="48"/>
      <c r="O92" s="48"/>
    </row>
    <row r="93" spans="1:15" x14ac:dyDescent="0.25">
      <c r="A93" s="4" t="s">
        <v>0</v>
      </c>
      <c r="B93" s="5">
        <v>36.667760000000108</v>
      </c>
      <c r="C93" s="5">
        <f>B208</f>
        <v>-608.28336999999976</v>
      </c>
      <c r="D93" s="5">
        <f>C208</f>
        <v>-1093.7984299999996</v>
      </c>
      <c r="E93" s="5">
        <f>D208</f>
        <v>-1881.9539149999996</v>
      </c>
      <c r="F93" s="5">
        <f>E208</f>
        <v>-2384.0591299999996</v>
      </c>
      <c r="G93" s="1"/>
      <c r="H93" s="1"/>
      <c r="I93" s="18" t="s">
        <v>112</v>
      </c>
      <c r="J93" s="49"/>
      <c r="K93" s="48"/>
      <c r="L93" s="48"/>
      <c r="M93" s="48"/>
      <c r="N93" s="48"/>
      <c r="O93" s="48"/>
    </row>
    <row r="94" spans="1:15" x14ac:dyDescent="0.25">
      <c r="A94" s="15" t="s">
        <v>1</v>
      </c>
      <c r="B94" s="4"/>
      <c r="C94" s="4"/>
      <c r="D94" s="4"/>
      <c r="E94" s="4"/>
      <c r="F94" s="4"/>
      <c r="G94" s="49"/>
      <c r="H94" s="49"/>
      <c r="I94" s="49"/>
      <c r="J94" s="49"/>
      <c r="K94" s="48"/>
      <c r="L94" s="48"/>
      <c r="M94" s="48"/>
      <c r="N94" s="48"/>
      <c r="O94" s="48"/>
    </row>
    <row r="95" spans="1:15" x14ac:dyDescent="0.25">
      <c r="A95" s="2" t="s">
        <v>2</v>
      </c>
      <c r="B95" s="6"/>
      <c r="C95" s="6"/>
      <c r="D95" s="6"/>
      <c r="E95" s="6"/>
      <c r="F95" s="6">
        <v>480</v>
      </c>
      <c r="G95" s="49"/>
      <c r="H95" s="49"/>
      <c r="I95" s="49"/>
      <c r="J95" s="49"/>
      <c r="K95" s="48"/>
      <c r="L95" s="48"/>
      <c r="M95" s="48"/>
      <c r="N95" s="48"/>
      <c r="O95" s="48"/>
    </row>
    <row r="96" spans="1:15" x14ac:dyDescent="0.25">
      <c r="A96" s="2" t="s">
        <v>39</v>
      </c>
      <c r="B96" s="2"/>
      <c r="C96" s="2"/>
      <c r="D96" s="2"/>
      <c r="E96" s="2"/>
      <c r="F96" s="2"/>
      <c r="G96" s="49"/>
      <c r="H96" s="49"/>
      <c r="I96" s="49"/>
      <c r="J96" s="49"/>
      <c r="K96" s="48"/>
      <c r="L96" s="48"/>
      <c r="M96" s="48"/>
      <c r="N96" s="48"/>
      <c r="O96" s="48"/>
    </row>
    <row r="97" spans="1:15" x14ac:dyDescent="0.25">
      <c r="A97" s="2" t="s">
        <v>3</v>
      </c>
      <c r="B97" s="2"/>
      <c r="C97" s="2"/>
      <c r="D97" s="2"/>
      <c r="E97" s="2"/>
      <c r="F97" s="2"/>
      <c r="G97" s="49"/>
      <c r="H97" s="49"/>
      <c r="I97" s="49"/>
      <c r="J97" s="49"/>
      <c r="K97" s="48"/>
      <c r="L97" s="48"/>
      <c r="M97" s="48"/>
      <c r="N97" s="48"/>
      <c r="O97" s="48"/>
    </row>
    <row r="98" spans="1:15" x14ac:dyDescent="0.25">
      <c r="A98" s="2" t="s">
        <v>4</v>
      </c>
      <c r="B98" s="2"/>
      <c r="C98" s="2"/>
      <c r="D98" s="2"/>
      <c r="E98" s="2"/>
      <c r="F98" s="2"/>
      <c r="G98" s="49"/>
      <c r="H98" s="49"/>
      <c r="I98" s="49"/>
      <c r="J98" s="49"/>
      <c r="K98" s="48"/>
      <c r="L98" s="48"/>
      <c r="M98" s="48"/>
      <c r="N98" s="48"/>
      <c r="O98" s="48"/>
    </row>
    <row r="99" spans="1:15" x14ac:dyDescent="0.25">
      <c r="A99" s="2" t="s">
        <v>32</v>
      </c>
      <c r="B99" s="2"/>
      <c r="C99" s="2"/>
      <c r="D99" s="2"/>
      <c r="E99" s="2"/>
      <c r="F99" s="2"/>
      <c r="G99" s="49"/>
      <c r="H99" s="49"/>
      <c r="I99" s="49"/>
      <c r="J99" s="49"/>
      <c r="K99" s="48"/>
      <c r="L99" s="48"/>
      <c r="M99" s="48"/>
      <c r="N99" s="48"/>
      <c r="O99" s="48"/>
    </row>
    <row r="100" spans="1:15" x14ac:dyDescent="0.25">
      <c r="A100" s="2" t="s">
        <v>74</v>
      </c>
      <c r="B100" s="2"/>
      <c r="C100" s="2"/>
      <c r="D100" s="2"/>
      <c r="E100" s="2"/>
      <c r="F100" s="2"/>
      <c r="G100" s="49"/>
      <c r="H100" s="49"/>
      <c r="I100" s="49"/>
      <c r="J100" s="49"/>
      <c r="K100" s="48"/>
      <c r="L100" s="48"/>
      <c r="M100" s="48"/>
      <c r="N100" s="48"/>
      <c r="O100" s="48"/>
    </row>
    <row r="101" spans="1:15" x14ac:dyDescent="0.25">
      <c r="A101" s="2" t="s">
        <v>99</v>
      </c>
      <c r="B101" s="2"/>
      <c r="C101" s="2"/>
      <c r="D101" s="2"/>
      <c r="E101" s="2"/>
      <c r="F101" s="2"/>
      <c r="G101" s="49"/>
      <c r="H101" s="49"/>
      <c r="I101" s="49"/>
      <c r="J101" s="49"/>
      <c r="K101" s="48"/>
      <c r="L101" s="48"/>
      <c r="M101" s="48"/>
      <c r="N101" s="48"/>
      <c r="O101" s="48"/>
    </row>
    <row r="102" spans="1:15" x14ac:dyDescent="0.25">
      <c r="A102" s="2" t="s">
        <v>59</v>
      </c>
      <c r="B102" s="2"/>
      <c r="C102" s="2"/>
      <c r="D102" s="2"/>
      <c r="E102" s="2">
        <f>181+15</f>
        <v>196</v>
      </c>
      <c r="F102" s="2"/>
      <c r="G102" s="49"/>
      <c r="H102" s="49"/>
      <c r="I102" s="49"/>
    </row>
    <row r="103" spans="1:15" x14ac:dyDescent="0.25">
      <c r="A103" s="2" t="s">
        <v>33</v>
      </c>
      <c r="B103" s="2"/>
      <c r="C103" s="2"/>
      <c r="D103" s="2"/>
      <c r="E103" s="2"/>
      <c r="F103" s="2"/>
      <c r="G103" s="49"/>
      <c r="H103" s="49"/>
      <c r="I103" s="49"/>
    </row>
    <row r="104" spans="1:15" x14ac:dyDescent="0.25">
      <c r="A104" s="2" t="s">
        <v>96</v>
      </c>
      <c r="B104" s="2"/>
      <c r="C104" s="2"/>
      <c r="D104" s="2"/>
      <c r="E104" s="2"/>
      <c r="F104" s="2"/>
      <c r="G104" s="49"/>
      <c r="H104" s="49"/>
      <c r="I104" s="49"/>
    </row>
    <row r="105" spans="1:15" x14ac:dyDescent="0.25">
      <c r="A105" s="2" t="s">
        <v>97</v>
      </c>
      <c r="B105" s="2"/>
      <c r="C105" s="2"/>
      <c r="D105" s="2"/>
      <c r="E105" s="2"/>
      <c r="F105" s="2"/>
      <c r="G105" s="49"/>
      <c r="H105" s="49"/>
      <c r="I105" s="49"/>
      <c r="J105" s="49"/>
      <c r="K105" s="48"/>
      <c r="L105" s="48"/>
      <c r="M105" s="48"/>
      <c r="N105" s="48"/>
      <c r="O105" s="48"/>
    </row>
    <row r="106" spans="1:15" x14ac:dyDescent="0.25">
      <c r="A106" s="2" t="s">
        <v>81</v>
      </c>
      <c r="B106" s="2"/>
      <c r="C106" s="2"/>
      <c r="D106" s="2"/>
      <c r="E106" s="2"/>
      <c r="F106" s="2"/>
      <c r="G106" s="49"/>
      <c r="H106" s="49"/>
      <c r="I106" s="49"/>
      <c r="J106" s="49"/>
      <c r="K106" s="48"/>
      <c r="L106" s="48"/>
      <c r="M106" s="48"/>
      <c r="N106" s="48"/>
      <c r="O106" s="48"/>
    </row>
    <row r="107" spans="1:15" x14ac:dyDescent="0.25">
      <c r="A107" s="2"/>
      <c r="B107" s="2"/>
      <c r="C107" s="2"/>
      <c r="D107" s="2"/>
      <c r="E107" s="2"/>
      <c r="F107" s="2"/>
      <c r="G107" s="49"/>
      <c r="H107" s="49"/>
      <c r="I107" s="49"/>
      <c r="J107" s="49"/>
      <c r="K107" s="48"/>
      <c r="L107" s="48"/>
      <c r="M107" s="48"/>
      <c r="N107" s="48"/>
      <c r="O107" s="48"/>
    </row>
    <row r="108" spans="1:15" x14ac:dyDescent="0.25">
      <c r="A108" s="7" t="s">
        <v>7</v>
      </c>
      <c r="B108" s="8">
        <f>SUM(B95:B107)</f>
        <v>0</v>
      </c>
      <c r="C108" s="8">
        <f>SUM(C95:C107)</f>
        <v>0</v>
      </c>
      <c r="D108" s="8">
        <f>SUM(D95:D107)</f>
        <v>0</v>
      </c>
      <c r="E108" s="8">
        <f>SUM(E95:E107)</f>
        <v>196</v>
      </c>
      <c r="F108" s="8">
        <f>SUM(F95:F107)</f>
        <v>480</v>
      </c>
      <c r="G108" s="49"/>
      <c r="H108" s="49"/>
      <c r="I108" s="49"/>
      <c r="J108" s="49"/>
      <c r="K108" s="48"/>
      <c r="L108" s="48"/>
      <c r="M108" s="48"/>
      <c r="N108" s="48"/>
      <c r="O108" s="48"/>
    </row>
    <row r="109" spans="1:15" x14ac:dyDescent="0.25">
      <c r="A109" s="15" t="s">
        <v>5</v>
      </c>
      <c r="B109" s="4"/>
      <c r="C109" s="4"/>
      <c r="D109" s="4"/>
      <c r="E109" s="4"/>
      <c r="F109" s="4"/>
      <c r="G109" s="49"/>
      <c r="H109" s="49"/>
      <c r="I109" s="49"/>
      <c r="J109" s="49"/>
      <c r="K109" s="48"/>
      <c r="L109" s="48"/>
      <c r="M109" s="48"/>
      <c r="N109" s="48"/>
      <c r="O109" s="48"/>
    </row>
    <row r="110" spans="1:15" x14ac:dyDescent="0.25">
      <c r="A110" s="9" t="s">
        <v>8</v>
      </c>
      <c r="B110" s="73">
        <v>282</v>
      </c>
      <c r="C110" s="55"/>
      <c r="D110" s="55"/>
      <c r="E110" s="55"/>
      <c r="F110" s="55"/>
      <c r="G110" s="49"/>
      <c r="H110" s="49"/>
      <c r="I110" s="49"/>
    </row>
    <row r="111" spans="1:15" x14ac:dyDescent="0.25">
      <c r="A111" s="2" t="s">
        <v>22</v>
      </c>
      <c r="B111" s="73">
        <v>150</v>
      </c>
      <c r="D111" s="54">
        <v>75</v>
      </c>
      <c r="E111" s="56">
        <v>75</v>
      </c>
      <c r="F111" s="55"/>
      <c r="G111" s="49"/>
      <c r="H111" s="49"/>
      <c r="I111" s="49"/>
    </row>
    <row r="112" spans="1:15" x14ac:dyDescent="0.25">
      <c r="A112" s="85" t="s">
        <v>103</v>
      </c>
      <c r="B112" s="57">
        <f>45+35</f>
        <v>80</v>
      </c>
      <c r="C112" s="74">
        <v>275</v>
      </c>
      <c r="D112" s="55"/>
      <c r="E112" s="55"/>
      <c r="F112" s="74">
        <v>45</v>
      </c>
      <c r="G112" s="49"/>
      <c r="H112" s="49"/>
      <c r="I112" s="49"/>
    </row>
    <row r="113" spans="1:15" x14ac:dyDescent="0.25">
      <c r="A113" s="61" t="s">
        <v>147</v>
      </c>
      <c r="B113" s="60"/>
      <c r="C113" s="60"/>
      <c r="D113" s="60"/>
      <c r="E113" s="60"/>
      <c r="F113" s="66">
        <f>181</f>
        <v>181</v>
      </c>
      <c r="G113" s="67"/>
      <c r="H113" s="68"/>
      <c r="I113" s="69"/>
      <c r="J113" s="49"/>
      <c r="K113" s="48"/>
      <c r="L113" s="48"/>
      <c r="M113" s="48"/>
      <c r="N113" s="48"/>
      <c r="O113" s="48"/>
    </row>
    <row r="114" spans="1:15" x14ac:dyDescent="0.25">
      <c r="A114" s="61" t="s">
        <v>152</v>
      </c>
      <c r="B114" s="60"/>
      <c r="C114" s="60"/>
      <c r="D114" s="57">
        <v>15</v>
      </c>
      <c r="E114" s="60"/>
      <c r="F114" s="65"/>
      <c r="G114" s="70">
        <f>SUM(B113:F114)</f>
        <v>196</v>
      </c>
      <c r="H114" s="71" t="s">
        <v>156</v>
      </c>
      <c r="I114" s="72"/>
      <c r="J114" s="49"/>
      <c r="K114" s="48"/>
      <c r="L114" s="48"/>
      <c r="M114" s="48"/>
      <c r="N114" s="48"/>
      <c r="O114" s="48"/>
    </row>
    <row r="115" spans="1:15" x14ac:dyDescent="0.25">
      <c r="A115" s="9" t="s">
        <v>29</v>
      </c>
      <c r="B115" s="57">
        <v>40</v>
      </c>
      <c r="C115" s="55"/>
      <c r="D115" s="55"/>
      <c r="E115" s="55"/>
      <c r="F115" s="55"/>
      <c r="G115" s="49"/>
      <c r="H115" s="49"/>
      <c r="I115" s="49"/>
      <c r="J115" s="49"/>
      <c r="K115" s="48"/>
      <c r="L115" s="48"/>
      <c r="M115" s="48"/>
      <c r="N115" s="48"/>
      <c r="O115" s="48"/>
    </row>
    <row r="116" spans="1:15" x14ac:dyDescent="0.25">
      <c r="A116" s="10" t="s">
        <v>10</v>
      </c>
      <c r="B116" s="74">
        <v>20</v>
      </c>
      <c r="C116" s="74">
        <v>15</v>
      </c>
      <c r="D116" s="57">
        <v>15</v>
      </c>
      <c r="E116" s="74">
        <v>15</v>
      </c>
      <c r="F116" s="74">
        <v>15</v>
      </c>
      <c r="G116" s="49"/>
      <c r="H116" s="49"/>
      <c r="I116" s="49"/>
      <c r="J116" s="49"/>
      <c r="K116" s="48"/>
      <c r="L116" s="48"/>
      <c r="M116" s="48"/>
      <c r="N116" s="48"/>
      <c r="O116" s="48"/>
    </row>
    <row r="117" spans="1:15" x14ac:dyDescent="0.25">
      <c r="A117" s="2" t="s">
        <v>80</v>
      </c>
      <c r="B117" s="73">
        <v>15.84155</v>
      </c>
      <c r="C117" s="54">
        <v>0</v>
      </c>
      <c r="D117" s="54">
        <v>10.68336</v>
      </c>
      <c r="E117" s="56">
        <v>10.79472</v>
      </c>
      <c r="F117" s="54">
        <v>10.82976</v>
      </c>
      <c r="G117" s="49"/>
      <c r="H117" s="49"/>
      <c r="I117" s="49"/>
      <c r="J117" s="49"/>
      <c r="K117" s="48"/>
      <c r="L117" s="48"/>
      <c r="M117" s="48"/>
      <c r="N117" s="48"/>
      <c r="O117" s="48"/>
    </row>
    <row r="118" spans="1:15" x14ac:dyDescent="0.25">
      <c r="A118" s="10" t="s">
        <v>9</v>
      </c>
      <c r="B118" s="73">
        <v>15.167999999999999</v>
      </c>
      <c r="C118" s="73">
        <v>5.5519999999999996</v>
      </c>
      <c r="D118" s="57">
        <v>8.4</v>
      </c>
      <c r="E118" s="78">
        <v>9.9</v>
      </c>
      <c r="F118" s="57">
        <v>13.6</v>
      </c>
      <c r="G118" s="49"/>
      <c r="H118" s="49"/>
      <c r="I118" s="49"/>
      <c r="J118" s="49"/>
      <c r="K118" s="48"/>
      <c r="L118" s="48"/>
      <c r="M118" s="48"/>
      <c r="N118" s="48"/>
      <c r="O118" s="48"/>
    </row>
    <row r="119" spans="1:15" x14ac:dyDescent="0.25">
      <c r="A119" s="2" t="s">
        <v>43</v>
      </c>
      <c r="B119" s="74">
        <v>9</v>
      </c>
      <c r="C119" s="55"/>
      <c r="D119" s="55"/>
      <c r="E119" s="55"/>
      <c r="F119" s="55"/>
      <c r="G119" s="49"/>
      <c r="H119" s="49"/>
      <c r="I119" s="49"/>
      <c r="J119" s="49"/>
      <c r="K119" s="48"/>
      <c r="L119" s="48"/>
      <c r="M119" s="48"/>
      <c r="N119" s="48"/>
      <c r="O119" s="48"/>
    </row>
    <row r="120" spans="1:15" x14ac:dyDescent="0.25">
      <c r="A120" s="2" t="s">
        <v>111</v>
      </c>
      <c r="B120" s="74">
        <v>8.4</v>
      </c>
      <c r="C120" s="55"/>
      <c r="D120" s="55"/>
      <c r="E120" s="55"/>
      <c r="F120" s="55"/>
      <c r="G120" s="49"/>
      <c r="H120" s="49"/>
      <c r="I120" s="49"/>
      <c r="J120" s="49"/>
      <c r="K120" s="48"/>
      <c r="L120" s="48"/>
      <c r="M120" s="48"/>
      <c r="N120" s="48"/>
      <c r="O120" s="48"/>
    </row>
    <row r="121" spans="1:15" x14ac:dyDescent="0.25">
      <c r="A121" s="2" t="s">
        <v>45</v>
      </c>
      <c r="B121" s="73">
        <v>6.72</v>
      </c>
      <c r="C121" s="55"/>
      <c r="D121" s="55"/>
      <c r="E121" s="55"/>
      <c r="F121" s="55"/>
      <c r="G121" s="49"/>
      <c r="H121" s="49"/>
      <c r="I121" s="49"/>
      <c r="J121" s="49"/>
      <c r="K121" s="48"/>
      <c r="L121" s="48"/>
      <c r="M121" s="48"/>
      <c r="N121" s="48"/>
      <c r="O121" s="48"/>
    </row>
    <row r="122" spans="1:15" x14ac:dyDescent="0.25">
      <c r="A122" s="2" t="s">
        <v>73</v>
      </c>
      <c r="B122" s="73">
        <v>6.5594299999999999</v>
      </c>
      <c r="C122" s="55"/>
      <c r="D122" s="57">
        <v>0.39865</v>
      </c>
      <c r="E122" s="57">
        <v>5</v>
      </c>
      <c r="F122" s="55"/>
      <c r="G122" s="49"/>
      <c r="H122" s="49"/>
      <c r="I122" s="49"/>
      <c r="J122" s="49"/>
      <c r="K122" s="48"/>
      <c r="L122" s="48"/>
      <c r="M122" s="48"/>
      <c r="N122" s="48"/>
      <c r="O122" s="48"/>
    </row>
    <row r="123" spans="1:15" x14ac:dyDescent="0.25">
      <c r="A123" s="2" t="s">
        <v>62</v>
      </c>
      <c r="B123" s="73">
        <f>4.998+0.23</f>
        <v>5.2280000000000006</v>
      </c>
      <c r="C123" s="55"/>
      <c r="D123" s="55"/>
      <c r="E123" s="55"/>
      <c r="F123" s="55"/>
      <c r="G123" s="49"/>
      <c r="H123" s="49"/>
      <c r="I123" s="49"/>
      <c r="J123" s="49"/>
      <c r="K123" s="48"/>
      <c r="L123" s="48"/>
      <c r="M123" s="48"/>
      <c r="N123" s="48"/>
      <c r="O123" s="48"/>
    </row>
    <row r="124" spans="1:15" x14ac:dyDescent="0.25">
      <c r="A124" s="2" t="s">
        <v>52</v>
      </c>
      <c r="B124" s="74">
        <v>2.3193999999999999</v>
      </c>
      <c r="C124" s="74">
        <v>2.8</v>
      </c>
      <c r="D124" s="55"/>
      <c r="E124" s="55"/>
      <c r="F124" s="74">
        <v>5</v>
      </c>
      <c r="G124" s="49"/>
      <c r="H124" s="49"/>
      <c r="I124" s="49"/>
      <c r="J124" s="49"/>
      <c r="K124" s="48"/>
      <c r="L124" s="48"/>
      <c r="M124" s="48"/>
      <c r="N124" s="48"/>
      <c r="O124" s="48"/>
    </row>
    <row r="125" spans="1:15" x14ac:dyDescent="0.25">
      <c r="A125" s="2" t="s">
        <v>56</v>
      </c>
      <c r="B125" s="73">
        <v>2.1294</v>
      </c>
      <c r="C125" s="55"/>
      <c r="D125" s="55"/>
      <c r="E125" s="57">
        <v>2.0955900000000001</v>
      </c>
      <c r="F125" s="55"/>
      <c r="G125" s="49"/>
      <c r="H125" s="49"/>
      <c r="I125" s="49"/>
      <c r="J125" s="49"/>
      <c r="K125" s="48"/>
      <c r="L125" s="48"/>
      <c r="M125" s="48"/>
      <c r="N125" s="48"/>
      <c r="O125" s="48"/>
    </row>
    <row r="126" spans="1:15" x14ac:dyDescent="0.25">
      <c r="A126" s="10" t="s">
        <v>12</v>
      </c>
      <c r="B126" s="74">
        <v>1.58535</v>
      </c>
      <c r="C126" s="55"/>
      <c r="D126" s="57">
        <v>5</v>
      </c>
      <c r="E126" s="55"/>
      <c r="F126" s="57">
        <v>5</v>
      </c>
      <c r="G126" s="49"/>
      <c r="H126" s="49"/>
      <c r="I126" s="49"/>
      <c r="J126" s="49"/>
      <c r="K126" s="48"/>
      <c r="L126" s="48"/>
      <c r="M126" s="48"/>
      <c r="N126" s="48"/>
      <c r="O126" s="48"/>
    </row>
    <row r="127" spans="1:15" x14ac:dyDescent="0.25">
      <c r="A127" s="59" t="s">
        <v>145</v>
      </c>
      <c r="B127" s="60"/>
      <c r="C127" s="60"/>
      <c r="D127" s="60"/>
      <c r="E127" s="74">
        <f>(70+140+67.5)*0+150</f>
        <v>150</v>
      </c>
      <c r="F127" s="65"/>
      <c r="G127" s="67"/>
      <c r="H127" s="68"/>
      <c r="I127" s="69"/>
      <c r="J127" s="49"/>
      <c r="K127" s="48"/>
      <c r="L127" s="48"/>
      <c r="M127" s="48"/>
      <c r="N127" s="48"/>
      <c r="O127" s="48"/>
    </row>
    <row r="128" spans="1:15" x14ac:dyDescent="0.25">
      <c r="A128" s="59" t="s">
        <v>146</v>
      </c>
      <c r="B128" s="60"/>
      <c r="C128" s="60"/>
      <c r="D128" s="60"/>
      <c r="E128" s="74">
        <v>128</v>
      </c>
      <c r="F128" s="65"/>
      <c r="G128" s="70">
        <f>SUM(B127:F128)</f>
        <v>278</v>
      </c>
      <c r="H128" s="71" t="s">
        <v>155</v>
      </c>
      <c r="I128" s="72"/>
      <c r="J128" s="49"/>
      <c r="K128" s="48"/>
      <c r="L128" s="48"/>
      <c r="M128" s="48"/>
      <c r="N128" s="48"/>
      <c r="O128" s="48"/>
    </row>
    <row r="129" spans="1:15" x14ac:dyDescent="0.25">
      <c r="A129" s="2" t="s">
        <v>53</v>
      </c>
      <c r="B129" s="55"/>
      <c r="C129" s="74">
        <v>46.063000000000002</v>
      </c>
      <c r="D129" s="55"/>
      <c r="E129" s="55"/>
      <c r="F129" s="55"/>
      <c r="G129" s="64"/>
      <c r="H129" s="64"/>
      <c r="I129" s="64"/>
      <c r="J129" s="49"/>
      <c r="K129" s="48"/>
      <c r="L129" s="48"/>
      <c r="M129" s="48"/>
      <c r="N129" s="48"/>
      <c r="O129" s="48"/>
    </row>
    <row r="130" spans="1:15" x14ac:dyDescent="0.25">
      <c r="A130" s="2" t="s">
        <v>24</v>
      </c>
      <c r="B130" s="55"/>
      <c r="C130" s="73">
        <v>42.017895000000003</v>
      </c>
      <c r="D130" s="54">
        <v>27.656685</v>
      </c>
      <c r="E130" s="56">
        <v>29.831534999999999</v>
      </c>
      <c r="F130" s="55"/>
      <c r="G130" s="64"/>
      <c r="H130" s="64"/>
      <c r="I130" s="64"/>
      <c r="J130" s="49"/>
      <c r="K130" s="48"/>
      <c r="L130" s="48"/>
      <c r="M130" s="48"/>
      <c r="N130" s="48"/>
      <c r="O130" s="48"/>
    </row>
    <row r="131" spans="1:15" x14ac:dyDescent="0.25">
      <c r="A131" s="10" t="s">
        <v>109</v>
      </c>
      <c r="B131" s="55"/>
      <c r="C131" s="77">
        <v>23.352</v>
      </c>
      <c r="D131" s="58">
        <v>57</v>
      </c>
      <c r="E131" s="55"/>
      <c r="F131" s="55"/>
      <c r="G131" s="64"/>
      <c r="H131" s="64"/>
      <c r="I131" s="64"/>
      <c r="J131" s="49"/>
      <c r="K131" s="48"/>
      <c r="L131" s="48"/>
      <c r="M131" s="48"/>
      <c r="N131" s="48"/>
      <c r="O131" s="48"/>
    </row>
    <row r="132" spans="1:15" x14ac:dyDescent="0.25">
      <c r="A132" s="2" t="s">
        <v>68</v>
      </c>
      <c r="B132" s="55"/>
      <c r="C132" s="73">
        <v>22.5</v>
      </c>
      <c r="D132" s="55"/>
      <c r="E132" s="57">
        <v>21.833955</v>
      </c>
      <c r="F132" s="55"/>
      <c r="G132" s="64"/>
      <c r="H132" s="64"/>
      <c r="I132" s="64"/>
      <c r="J132" s="49"/>
      <c r="K132" s="48"/>
      <c r="L132" s="48"/>
      <c r="M132" s="48"/>
      <c r="N132" s="48"/>
      <c r="O132" s="48"/>
    </row>
    <row r="133" spans="1:15" x14ac:dyDescent="0.25">
      <c r="A133" s="59" t="s">
        <v>148</v>
      </c>
      <c r="B133" s="60"/>
      <c r="C133" s="74">
        <f>11.52+4.09479*0</f>
        <v>11.52</v>
      </c>
      <c r="D133" s="57">
        <v>0</v>
      </c>
      <c r="E133" s="74">
        <f>11.7+4.09479</f>
        <v>15.794789999999999</v>
      </c>
      <c r="F133" s="65"/>
      <c r="G133" s="67"/>
      <c r="H133" s="68"/>
      <c r="I133" s="69"/>
      <c r="J133" s="49"/>
      <c r="K133" s="48"/>
      <c r="L133" s="48"/>
      <c r="M133" s="48"/>
      <c r="N133" s="48"/>
      <c r="O133" s="48"/>
    </row>
    <row r="134" spans="1:15" x14ac:dyDescent="0.25">
      <c r="A134" s="59" t="s">
        <v>149</v>
      </c>
      <c r="B134" s="60"/>
      <c r="C134" s="57"/>
      <c r="D134" s="57">
        <f>21+9.6+6.7</f>
        <v>37.300000000000004</v>
      </c>
      <c r="E134" s="60"/>
      <c r="F134" s="65"/>
      <c r="G134" s="70">
        <f>SUM(B133:F134)</f>
        <v>64.614789999999999</v>
      </c>
      <c r="H134" s="71" t="s">
        <v>157</v>
      </c>
      <c r="I134" s="72"/>
      <c r="J134" s="49"/>
      <c r="K134" s="48"/>
      <c r="L134" s="48"/>
      <c r="M134" s="48"/>
      <c r="N134" s="48"/>
      <c r="O134" s="48"/>
    </row>
    <row r="135" spans="1:15" x14ac:dyDescent="0.25">
      <c r="A135" s="2" t="s">
        <v>25</v>
      </c>
      <c r="B135" s="55"/>
      <c r="C135" s="73">
        <v>10.786365</v>
      </c>
      <c r="D135" s="55"/>
      <c r="E135" s="56">
        <v>10.727595000000001</v>
      </c>
      <c r="F135" s="55"/>
      <c r="G135" s="64"/>
      <c r="H135" s="64"/>
      <c r="I135" s="64"/>
      <c r="J135" s="49"/>
      <c r="K135" s="48"/>
      <c r="L135" s="48"/>
      <c r="M135" s="48"/>
      <c r="N135" s="48"/>
      <c r="O135" s="48"/>
    </row>
    <row r="136" spans="1:15" x14ac:dyDescent="0.25">
      <c r="A136" s="10" t="s">
        <v>28</v>
      </c>
      <c r="B136" s="55"/>
      <c r="C136" s="74">
        <v>10</v>
      </c>
      <c r="D136" s="55"/>
      <c r="E136" s="55"/>
      <c r="F136" s="55"/>
      <c r="G136" s="64"/>
      <c r="H136" s="64"/>
      <c r="I136" s="64"/>
      <c r="J136" s="49"/>
      <c r="K136" s="48"/>
      <c r="L136" s="48"/>
      <c r="M136" s="48"/>
      <c r="N136" s="48"/>
      <c r="O136" s="48"/>
    </row>
    <row r="137" spans="1:15" x14ac:dyDescent="0.25">
      <c r="A137" s="59" t="s">
        <v>151</v>
      </c>
      <c r="B137" s="60"/>
      <c r="C137" s="75">
        <f>7.96538</f>
        <v>7.9653799999999997</v>
      </c>
      <c r="D137" s="57">
        <f>0.68116+9.57226+3.5</f>
        <v>13.75342</v>
      </c>
      <c r="E137" s="60"/>
      <c r="F137" s="65"/>
      <c r="G137" s="67"/>
      <c r="H137" s="68"/>
      <c r="I137" s="69"/>
      <c r="J137" s="49"/>
      <c r="K137" s="48"/>
      <c r="L137" s="48"/>
      <c r="M137" s="48"/>
      <c r="N137" s="48"/>
      <c r="O137" s="48"/>
    </row>
    <row r="138" spans="1:15" x14ac:dyDescent="0.25">
      <c r="A138" s="59" t="s">
        <v>150</v>
      </c>
      <c r="B138" s="60"/>
      <c r="C138" s="76">
        <f>0.4998+0.23575</f>
        <v>0.73555000000000004</v>
      </c>
      <c r="D138" s="60"/>
      <c r="E138" s="60"/>
      <c r="F138" s="65"/>
      <c r="G138" s="70">
        <f>SUM(B137:F138)</f>
        <v>22.454350000000002</v>
      </c>
      <c r="H138" s="71" t="s">
        <v>158</v>
      </c>
      <c r="I138" s="72"/>
      <c r="J138" s="49"/>
      <c r="K138" s="48"/>
      <c r="L138" s="48"/>
      <c r="M138" s="48"/>
      <c r="N138" s="48"/>
      <c r="O138" s="48"/>
    </row>
    <row r="139" spans="1:15" x14ac:dyDescent="0.25">
      <c r="A139" s="2" t="s">
        <v>94</v>
      </c>
      <c r="B139" s="55"/>
      <c r="C139" s="73">
        <v>4.9358599999999999</v>
      </c>
      <c r="D139" s="55"/>
      <c r="E139" s="55"/>
      <c r="F139" s="55"/>
      <c r="G139" s="49"/>
      <c r="H139" s="49"/>
      <c r="I139" s="49"/>
      <c r="J139" s="49"/>
      <c r="K139" s="48"/>
      <c r="L139" s="48"/>
      <c r="M139" s="48"/>
      <c r="N139" s="48"/>
      <c r="O139" s="48"/>
    </row>
    <row r="140" spans="1:15" x14ac:dyDescent="0.25">
      <c r="A140" s="2" t="s">
        <v>98</v>
      </c>
      <c r="B140" s="55"/>
      <c r="C140" s="74">
        <v>4</v>
      </c>
      <c r="D140" s="55"/>
      <c r="E140" s="55"/>
      <c r="F140" s="55"/>
      <c r="G140" s="49"/>
      <c r="H140" s="49"/>
      <c r="I140" s="49"/>
      <c r="J140" s="49"/>
      <c r="K140" s="48"/>
      <c r="L140" s="48"/>
      <c r="M140" s="48"/>
      <c r="N140" s="48"/>
      <c r="O140" s="48"/>
    </row>
    <row r="141" spans="1:15" x14ac:dyDescent="0.25">
      <c r="A141" s="2" t="s">
        <v>42</v>
      </c>
      <c r="B141" s="55"/>
      <c r="C141" s="74">
        <v>2.8653499999999998</v>
      </c>
      <c r="D141" s="55"/>
      <c r="E141" s="55"/>
      <c r="F141" s="55"/>
      <c r="G141" s="49"/>
      <c r="H141" s="49"/>
      <c r="I141" s="49"/>
      <c r="J141" s="49"/>
      <c r="K141" s="48"/>
      <c r="L141" s="48"/>
      <c r="M141" s="48"/>
      <c r="N141" s="48"/>
      <c r="O141" s="48"/>
    </row>
    <row r="142" spans="1:15" x14ac:dyDescent="0.25">
      <c r="A142" s="2" t="s">
        <v>76</v>
      </c>
      <c r="B142" s="55"/>
      <c r="C142" s="74">
        <v>0.42165999999999998</v>
      </c>
      <c r="D142" s="55"/>
      <c r="E142" s="55"/>
      <c r="F142" s="55"/>
      <c r="G142" s="49"/>
      <c r="H142" s="49"/>
      <c r="I142" s="49"/>
      <c r="J142" s="49"/>
      <c r="K142" s="48"/>
      <c r="L142" s="48"/>
      <c r="M142" s="48"/>
      <c r="N142" s="48"/>
      <c r="O142" s="48"/>
    </row>
    <row r="143" spans="1:15" x14ac:dyDescent="0.25">
      <c r="A143" s="2" t="s">
        <v>30</v>
      </c>
      <c r="B143" s="55"/>
      <c r="C143" s="55"/>
      <c r="D143" s="78">
        <v>170</v>
      </c>
      <c r="E143" s="55"/>
      <c r="F143" s="55"/>
      <c r="G143" s="49"/>
      <c r="H143" s="49"/>
      <c r="I143" s="49"/>
      <c r="J143" s="49"/>
      <c r="K143" s="48"/>
      <c r="L143" s="48"/>
      <c r="M143" s="48"/>
      <c r="N143" s="48"/>
      <c r="O143" s="48"/>
    </row>
    <row r="144" spans="1:15" x14ac:dyDescent="0.25">
      <c r="A144" s="9" t="s">
        <v>15</v>
      </c>
      <c r="B144" s="55"/>
      <c r="C144" s="55"/>
      <c r="D144" s="57">
        <v>168.286</v>
      </c>
      <c r="E144" s="55"/>
      <c r="F144" s="55"/>
      <c r="G144" s="49"/>
      <c r="H144" s="49"/>
      <c r="I144" s="49"/>
      <c r="J144" s="49"/>
      <c r="K144" s="48"/>
      <c r="L144" s="48"/>
      <c r="M144" s="48"/>
      <c r="N144" s="48"/>
      <c r="O144" s="48"/>
    </row>
    <row r="145" spans="1:15" x14ac:dyDescent="0.25">
      <c r="A145" s="2" t="s">
        <v>79</v>
      </c>
      <c r="B145" s="55"/>
      <c r="C145" s="55"/>
      <c r="D145" s="57">
        <v>112.18877999999999</v>
      </c>
      <c r="E145" s="74">
        <v>111.807</v>
      </c>
      <c r="F145" s="55"/>
      <c r="G145" s="49"/>
      <c r="H145" s="49"/>
      <c r="I145" s="49"/>
      <c r="J145" s="49"/>
      <c r="K145" s="48"/>
      <c r="L145" s="48"/>
      <c r="M145" s="48"/>
      <c r="N145" s="48"/>
      <c r="O145" s="48"/>
    </row>
    <row r="146" spans="1:15" x14ac:dyDescent="0.25">
      <c r="A146" s="2" t="s">
        <v>34</v>
      </c>
      <c r="B146" s="55"/>
      <c r="C146" s="55"/>
      <c r="D146" s="57">
        <v>56.803930000000001</v>
      </c>
      <c r="E146" s="78">
        <v>55</v>
      </c>
      <c r="F146" s="55"/>
      <c r="G146" s="49"/>
      <c r="H146" s="49"/>
      <c r="I146" s="49"/>
      <c r="J146" s="49"/>
      <c r="K146" s="48"/>
      <c r="L146" s="48"/>
      <c r="M146" s="48"/>
      <c r="N146" s="48"/>
      <c r="O146" s="48"/>
    </row>
    <row r="147" spans="1:15" x14ac:dyDescent="0.25">
      <c r="A147" s="10" t="s">
        <v>13</v>
      </c>
      <c r="B147" s="55"/>
      <c r="C147" s="55"/>
      <c r="D147" s="57">
        <v>7</v>
      </c>
      <c r="E147" s="55"/>
      <c r="F147" s="55"/>
      <c r="G147" s="49"/>
      <c r="H147" s="49"/>
      <c r="I147" s="49"/>
      <c r="J147" s="49"/>
      <c r="K147" s="48"/>
      <c r="L147" s="48"/>
      <c r="M147" s="48"/>
      <c r="N147" s="48"/>
      <c r="O147" s="48"/>
    </row>
    <row r="148" spans="1:15" x14ac:dyDescent="0.25">
      <c r="A148" s="2" t="s">
        <v>41</v>
      </c>
      <c r="B148" s="55"/>
      <c r="C148" s="55"/>
      <c r="D148" s="57">
        <f>5.676+0.209</f>
        <v>5.8849999999999998</v>
      </c>
      <c r="E148" s="55"/>
      <c r="F148" s="55"/>
      <c r="G148" s="49"/>
      <c r="H148" s="49"/>
      <c r="I148" s="49"/>
      <c r="J148" s="49"/>
      <c r="K148" s="48"/>
      <c r="L148" s="48"/>
      <c r="M148" s="48"/>
      <c r="N148" s="48"/>
      <c r="O148" s="48"/>
    </row>
    <row r="149" spans="1:15" x14ac:dyDescent="0.25">
      <c r="A149" s="2" t="s">
        <v>36</v>
      </c>
      <c r="B149" s="55"/>
      <c r="C149" s="55"/>
      <c r="D149" s="57">
        <v>2.7996599999999998</v>
      </c>
      <c r="E149" s="55"/>
      <c r="F149" s="55"/>
      <c r="G149" s="49"/>
      <c r="H149" s="49"/>
      <c r="I149" s="49"/>
      <c r="J149" s="49"/>
      <c r="K149" s="48"/>
      <c r="L149" s="48"/>
      <c r="M149" s="48"/>
      <c r="N149" s="48"/>
      <c r="O149" s="48"/>
    </row>
    <row r="150" spans="1:15" x14ac:dyDescent="0.25">
      <c r="A150" s="2" t="s">
        <v>71</v>
      </c>
      <c r="B150" s="55"/>
      <c r="C150" s="55"/>
      <c r="D150" s="55"/>
      <c r="E150" s="78">
        <v>42</v>
      </c>
      <c r="F150" s="55"/>
      <c r="G150" s="49"/>
      <c r="H150" s="49"/>
      <c r="I150" s="49"/>
      <c r="J150" s="49"/>
      <c r="K150" s="48"/>
      <c r="L150" s="48"/>
      <c r="M150" s="48"/>
      <c r="N150" s="48"/>
      <c r="O150" s="48"/>
    </row>
    <row r="151" spans="1:15" s="1" customFormat="1" x14ac:dyDescent="0.25">
      <c r="A151" s="2" t="s">
        <v>54</v>
      </c>
      <c r="B151" s="55"/>
      <c r="C151" s="55"/>
      <c r="D151" s="55"/>
      <c r="E151" s="74">
        <v>15.320029999999999</v>
      </c>
      <c r="F151" s="55"/>
      <c r="G151" s="49"/>
      <c r="H151" s="49"/>
      <c r="I151" s="49"/>
      <c r="J151" s="49"/>
      <c r="K151" s="48"/>
      <c r="L151" s="48"/>
      <c r="M151" s="48"/>
      <c r="N151" s="48"/>
      <c r="O151" s="48"/>
    </row>
    <row r="152" spans="1:15" hidden="1" x14ac:dyDescent="0.25">
      <c r="A152" s="2" t="s">
        <v>86</v>
      </c>
      <c r="B152" s="6"/>
      <c r="C152" s="6"/>
      <c r="D152" s="6"/>
      <c r="E152" s="6"/>
      <c r="F152" s="6"/>
      <c r="G152" s="49"/>
      <c r="H152" s="49"/>
      <c r="I152" s="49"/>
      <c r="J152" s="49"/>
      <c r="K152" s="48"/>
      <c r="L152" s="48"/>
      <c r="M152" s="48"/>
      <c r="N152" s="48"/>
      <c r="O152" s="48"/>
    </row>
    <row r="153" spans="1:15" s="1" customFormat="1" hidden="1" x14ac:dyDescent="0.25">
      <c r="A153" s="2" t="s">
        <v>110</v>
      </c>
      <c r="B153" s="6"/>
      <c r="C153" s="6"/>
      <c r="D153" s="6"/>
      <c r="E153" s="6"/>
      <c r="F153" s="6"/>
      <c r="G153" s="49"/>
      <c r="H153" s="49"/>
      <c r="I153" s="49"/>
      <c r="J153" s="49"/>
      <c r="K153" s="48"/>
      <c r="L153" s="48"/>
      <c r="M153" s="48"/>
      <c r="N153" s="48"/>
      <c r="O153" s="48"/>
    </row>
    <row r="154" spans="1:15" s="1" customFormat="1" hidden="1" x14ac:dyDescent="0.25">
      <c r="A154" s="2" t="s">
        <v>93</v>
      </c>
      <c r="B154" s="6"/>
      <c r="C154" s="6"/>
      <c r="D154" s="6"/>
      <c r="E154" s="6"/>
      <c r="F154" s="6"/>
      <c r="G154" s="49"/>
      <c r="H154" s="49"/>
      <c r="I154" s="49"/>
      <c r="J154" s="49"/>
      <c r="K154" s="48"/>
      <c r="L154" s="48"/>
      <c r="M154" s="48"/>
      <c r="N154" s="48"/>
      <c r="O154" s="48"/>
    </row>
    <row r="155" spans="1:15" hidden="1" x14ac:dyDescent="0.25">
      <c r="A155" s="2" t="s">
        <v>85</v>
      </c>
      <c r="B155" s="6"/>
      <c r="C155" s="6"/>
      <c r="D155" s="6"/>
      <c r="E155" s="6"/>
      <c r="F155" s="6"/>
      <c r="G155" s="49"/>
      <c r="H155" s="49"/>
      <c r="I155" s="49"/>
      <c r="J155" s="49"/>
      <c r="K155" s="48"/>
      <c r="L155" s="48"/>
      <c r="M155" s="48"/>
      <c r="N155" s="48"/>
      <c r="O155" s="48"/>
    </row>
    <row r="156" spans="1:15" hidden="1" x14ac:dyDescent="0.25">
      <c r="A156" s="10" t="s">
        <v>14</v>
      </c>
      <c r="B156" s="6"/>
      <c r="C156" s="6"/>
      <c r="D156" s="6"/>
      <c r="E156" s="6"/>
      <c r="F156" s="6"/>
      <c r="G156" s="49"/>
      <c r="H156" s="49"/>
      <c r="I156" s="49"/>
    </row>
    <row r="157" spans="1:15" hidden="1" x14ac:dyDescent="0.25">
      <c r="A157" s="2" t="s">
        <v>48</v>
      </c>
      <c r="B157" s="6"/>
      <c r="C157" s="6"/>
      <c r="D157" s="6"/>
      <c r="E157" s="6"/>
      <c r="F157" s="6"/>
      <c r="G157" s="49"/>
      <c r="H157" s="49"/>
      <c r="I157" s="49"/>
    </row>
    <row r="158" spans="1:15" hidden="1" x14ac:dyDescent="0.25">
      <c r="A158" s="2" t="s">
        <v>38</v>
      </c>
      <c r="B158" s="6"/>
      <c r="C158" s="6"/>
      <c r="D158" s="6"/>
      <c r="E158" s="6"/>
      <c r="F158" s="6"/>
      <c r="G158" s="49"/>
      <c r="H158" s="49"/>
      <c r="I158" s="49"/>
    </row>
    <row r="159" spans="1:15" hidden="1" x14ac:dyDescent="0.25">
      <c r="A159" s="2" t="s">
        <v>40</v>
      </c>
      <c r="B159" s="6"/>
      <c r="C159" s="6"/>
      <c r="D159" s="6"/>
      <c r="E159" s="6"/>
      <c r="F159" s="6"/>
      <c r="G159" s="49"/>
      <c r="H159" s="49"/>
      <c r="I159" s="49"/>
    </row>
    <row r="160" spans="1:15" hidden="1" x14ac:dyDescent="0.25">
      <c r="A160" s="2" t="s">
        <v>23</v>
      </c>
      <c r="B160" s="6"/>
      <c r="C160" s="6"/>
      <c r="D160" s="6"/>
      <c r="E160" s="6"/>
      <c r="F160" s="6"/>
      <c r="G160" s="49"/>
      <c r="H160" s="49"/>
      <c r="I160" s="49"/>
    </row>
    <row r="161" spans="1:9" hidden="1" x14ac:dyDescent="0.25">
      <c r="A161" s="2" t="s">
        <v>63</v>
      </c>
      <c r="B161" s="6"/>
      <c r="C161" s="6"/>
      <c r="D161" s="6"/>
      <c r="E161" s="6"/>
      <c r="F161" s="6"/>
      <c r="G161" s="49"/>
      <c r="H161" s="49"/>
      <c r="I161" s="49"/>
    </row>
    <row r="162" spans="1:9" hidden="1" x14ac:dyDescent="0.25">
      <c r="A162" s="2" t="s">
        <v>77</v>
      </c>
      <c r="B162" s="6"/>
      <c r="C162" s="6"/>
      <c r="D162" s="6"/>
      <c r="E162" s="6"/>
      <c r="F162" s="6"/>
      <c r="G162" s="49"/>
      <c r="H162" s="49"/>
      <c r="I162" s="49"/>
    </row>
    <row r="163" spans="1:9" hidden="1" x14ac:dyDescent="0.25">
      <c r="A163" s="10" t="s">
        <v>102</v>
      </c>
      <c r="B163" s="6"/>
      <c r="C163" s="6"/>
      <c r="D163" s="6"/>
      <c r="E163" s="6"/>
      <c r="F163" s="6"/>
      <c r="G163" s="49"/>
      <c r="H163" s="49"/>
      <c r="I163" s="49"/>
    </row>
    <row r="164" spans="1:9" hidden="1" x14ac:dyDescent="0.25">
      <c r="A164" s="2" t="s">
        <v>101</v>
      </c>
      <c r="B164" s="6"/>
      <c r="C164" s="6"/>
      <c r="D164" s="6"/>
      <c r="E164" s="6"/>
      <c r="F164" s="6"/>
      <c r="G164" s="49"/>
      <c r="H164" s="49"/>
      <c r="I164" s="49"/>
    </row>
    <row r="165" spans="1:9" hidden="1" x14ac:dyDescent="0.25">
      <c r="A165" s="2" t="s">
        <v>100</v>
      </c>
      <c r="B165" s="6"/>
      <c r="C165" s="6"/>
      <c r="D165" s="6"/>
      <c r="E165" s="6"/>
      <c r="F165" s="6"/>
      <c r="G165" s="49"/>
      <c r="H165" s="49"/>
      <c r="I165" s="49"/>
    </row>
    <row r="166" spans="1:9" hidden="1" x14ac:dyDescent="0.25">
      <c r="A166" s="10" t="s">
        <v>11</v>
      </c>
      <c r="B166" s="6"/>
      <c r="C166" s="6"/>
      <c r="D166" s="6"/>
      <c r="E166" s="6"/>
      <c r="F166" s="6"/>
      <c r="G166" s="49"/>
      <c r="H166" s="49"/>
      <c r="I166" s="49"/>
    </row>
    <row r="167" spans="1:9" hidden="1" x14ac:dyDescent="0.25">
      <c r="A167" s="2" t="s">
        <v>35</v>
      </c>
      <c r="B167" s="6"/>
      <c r="C167" s="6"/>
      <c r="D167" s="6"/>
      <c r="E167" s="6"/>
      <c r="F167" s="6"/>
      <c r="G167" s="49"/>
      <c r="H167" s="49"/>
      <c r="I167" s="49"/>
    </row>
    <row r="168" spans="1:9" hidden="1" x14ac:dyDescent="0.25">
      <c r="A168" s="10" t="s">
        <v>95</v>
      </c>
      <c r="B168" s="6"/>
      <c r="C168" s="6"/>
      <c r="D168" s="6"/>
      <c r="E168" s="6"/>
      <c r="F168" s="6"/>
      <c r="G168" s="49"/>
      <c r="H168" s="49"/>
      <c r="I168" s="49"/>
    </row>
    <row r="169" spans="1:9" hidden="1" x14ac:dyDescent="0.25">
      <c r="A169" s="2" t="s">
        <v>92</v>
      </c>
      <c r="B169" s="6"/>
      <c r="C169" s="6"/>
      <c r="D169" s="6"/>
      <c r="E169" s="6"/>
      <c r="F169" s="6"/>
      <c r="G169" s="49"/>
      <c r="H169" s="49"/>
      <c r="I169" s="49"/>
    </row>
    <row r="170" spans="1:9" hidden="1" x14ac:dyDescent="0.25">
      <c r="A170" s="2" t="s">
        <v>91</v>
      </c>
      <c r="B170" s="6"/>
      <c r="C170" s="6"/>
      <c r="D170" s="6"/>
      <c r="E170" s="6"/>
      <c r="F170" s="6"/>
      <c r="G170" s="49"/>
      <c r="H170" s="49"/>
      <c r="I170" s="49"/>
    </row>
    <row r="171" spans="1:9" hidden="1" x14ac:dyDescent="0.25">
      <c r="A171" s="2" t="s">
        <v>21</v>
      </c>
      <c r="B171" s="6"/>
      <c r="C171" s="6"/>
      <c r="D171" s="6"/>
      <c r="E171" s="6"/>
      <c r="F171" s="6"/>
      <c r="G171" s="49"/>
      <c r="H171" s="49"/>
      <c r="I171" s="49"/>
    </row>
    <row r="172" spans="1:9" hidden="1" x14ac:dyDescent="0.25">
      <c r="A172" s="2" t="s">
        <v>89</v>
      </c>
      <c r="B172" s="6"/>
      <c r="C172" s="6"/>
      <c r="D172" s="6"/>
      <c r="E172" s="6"/>
      <c r="F172" s="6"/>
      <c r="G172" s="49"/>
      <c r="H172" s="49"/>
      <c r="I172" s="49"/>
    </row>
    <row r="173" spans="1:9" hidden="1" x14ac:dyDescent="0.25">
      <c r="A173" s="2" t="s">
        <v>90</v>
      </c>
      <c r="B173" s="6"/>
      <c r="C173" s="6"/>
      <c r="D173" s="6"/>
      <c r="E173" s="6"/>
      <c r="F173" s="6"/>
      <c r="G173" s="49"/>
      <c r="H173" s="49"/>
      <c r="I173" s="49"/>
    </row>
    <row r="174" spans="1:9" hidden="1" x14ac:dyDescent="0.25">
      <c r="A174" s="2" t="s">
        <v>66</v>
      </c>
      <c r="B174" s="6"/>
      <c r="C174" s="6"/>
      <c r="D174" s="6"/>
      <c r="E174" s="6"/>
      <c r="F174" s="6"/>
      <c r="G174" s="49"/>
      <c r="H174" s="49"/>
      <c r="I174" s="49"/>
    </row>
    <row r="175" spans="1:9" hidden="1" x14ac:dyDescent="0.25">
      <c r="A175" s="2" t="s">
        <v>88</v>
      </c>
      <c r="B175" s="6"/>
      <c r="C175" s="6"/>
      <c r="D175" s="6"/>
      <c r="E175" s="6"/>
      <c r="F175" s="6"/>
      <c r="G175" s="49"/>
      <c r="H175" s="49"/>
      <c r="I175" s="49"/>
    </row>
    <row r="176" spans="1:9" hidden="1" x14ac:dyDescent="0.25">
      <c r="A176" s="2" t="s">
        <v>87</v>
      </c>
      <c r="B176" s="6"/>
      <c r="C176" s="6"/>
      <c r="D176" s="6"/>
      <c r="E176" s="6"/>
      <c r="F176" s="6"/>
      <c r="G176" s="49"/>
      <c r="H176" s="49"/>
      <c r="I176" s="49"/>
    </row>
    <row r="177" spans="1:9" hidden="1" x14ac:dyDescent="0.25">
      <c r="A177" s="2" t="s">
        <v>82</v>
      </c>
      <c r="B177" s="6"/>
      <c r="C177" s="6"/>
      <c r="D177" s="6"/>
      <c r="E177" s="6"/>
      <c r="F177" s="6"/>
      <c r="G177" s="49"/>
      <c r="H177" s="49"/>
      <c r="I177" s="49"/>
    </row>
    <row r="178" spans="1:9" hidden="1" x14ac:dyDescent="0.25">
      <c r="A178" s="2" t="s">
        <v>83</v>
      </c>
      <c r="B178" s="6"/>
      <c r="C178" s="6"/>
      <c r="D178" s="6"/>
      <c r="E178" s="6"/>
      <c r="F178" s="6"/>
      <c r="G178" s="49"/>
      <c r="H178" s="49"/>
      <c r="I178" s="49"/>
    </row>
    <row r="179" spans="1:9" hidden="1" x14ac:dyDescent="0.25">
      <c r="A179" s="2" t="s">
        <v>46</v>
      </c>
      <c r="B179" s="6"/>
      <c r="C179" s="6"/>
      <c r="D179" s="6"/>
      <c r="E179" s="6"/>
      <c r="F179" s="6"/>
      <c r="G179" s="49"/>
      <c r="H179" s="49"/>
      <c r="I179" s="49"/>
    </row>
    <row r="180" spans="1:9" hidden="1" x14ac:dyDescent="0.25">
      <c r="A180" s="2" t="s">
        <v>84</v>
      </c>
      <c r="B180" s="6"/>
      <c r="C180" s="6"/>
      <c r="D180" s="6"/>
      <c r="E180" s="6"/>
      <c r="F180" s="6"/>
      <c r="G180" s="49"/>
      <c r="H180" s="49"/>
      <c r="I180" s="49"/>
    </row>
    <row r="181" spans="1:9" hidden="1" x14ac:dyDescent="0.25">
      <c r="A181" s="2" t="s">
        <v>58</v>
      </c>
      <c r="B181" s="6"/>
      <c r="C181" s="6"/>
      <c r="D181" s="6"/>
      <c r="E181" s="6"/>
      <c r="F181" s="6"/>
      <c r="G181" s="49"/>
      <c r="H181" s="49"/>
      <c r="I181" s="49"/>
    </row>
    <row r="182" spans="1:9" hidden="1" x14ac:dyDescent="0.25">
      <c r="A182" s="2" t="s">
        <v>78</v>
      </c>
      <c r="B182" s="6"/>
      <c r="C182" s="6"/>
      <c r="D182" s="6"/>
      <c r="E182" s="6"/>
      <c r="F182" s="6"/>
      <c r="G182" s="49"/>
      <c r="H182" s="49"/>
      <c r="I182" s="49"/>
    </row>
    <row r="183" spans="1:9" hidden="1" x14ac:dyDescent="0.25">
      <c r="A183" s="2" t="s">
        <v>37</v>
      </c>
      <c r="B183" s="6"/>
      <c r="C183" s="6"/>
      <c r="D183" s="6"/>
      <c r="E183" s="6"/>
      <c r="F183" s="6"/>
      <c r="G183" s="49"/>
      <c r="H183" s="49"/>
      <c r="I183" s="49"/>
    </row>
    <row r="184" spans="1:9" hidden="1" x14ac:dyDescent="0.25">
      <c r="A184" s="2" t="s">
        <v>75</v>
      </c>
      <c r="B184" s="6"/>
      <c r="C184" s="6"/>
      <c r="D184" s="6"/>
      <c r="E184" s="6"/>
      <c r="F184" s="6"/>
      <c r="G184" s="49"/>
      <c r="H184" s="49"/>
      <c r="I184" s="49"/>
    </row>
    <row r="185" spans="1:9" hidden="1" x14ac:dyDescent="0.25">
      <c r="A185" s="2" t="s">
        <v>18</v>
      </c>
      <c r="B185" s="6"/>
      <c r="C185" s="6"/>
      <c r="D185" s="6"/>
      <c r="E185" s="6"/>
      <c r="F185" s="6"/>
      <c r="G185" s="49"/>
      <c r="H185" s="49"/>
      <c r="I185" s="49"/>
    </row>
    <row r="186" spans="1:9" hidden="1" x14ac:dyDescent="0.25">
      <c r="A186" s="2" t="s">
        <v>51</v>
      </c>
      <c r="B186" s="6"/>
      <c r="C186" s="6"/>
      <c r="D186" s="6"/>
      <c r="E186" s="6"/>
      <c r="F186" s="6"/>
      <c r="G186" s="49"/>
      <c r="H186" s="49"/>
      <c r="I186" s="49"/>
    </row>
    <row r="187" spans="1:9" hidden="1" x14ac:dyDescent="0.25">
      <c r="A187" s="2" t="s">
        <v>72</v>
      </c>
      <c r="B187" s="6"/>
      <c r="C187" s="6"/>
      <c r="D187" s="6"/>
      <c r="E187" s="6"/>
      <c r="F187" s="6"/>
      <c r="G187" s="49"/>
      <c r="H187" s="49"/>
      <c r="I187" s="49"/>
    </row>
    <row r="188" spans="1:9" hidden="1" x14ac:dyDescent="0.25">
      <c r="A188" s="2" t="s">
        <v>69</v>
      </c>
      <c r="B188" s="6"/>
      <c r="C188" s="6"/>
      <c r="D188" s="6"/>
      <c r="E188" s="6"/>
      <c r="F188" s="6"/>
      <c r="G188" s="49"/>
      <c r="H188" s="49"/>
      <c r="I188" s="49"/>
    </row>
    <row r="189" spans="1:9" hidden="1" x14ac:dyDescent="0.25">
      <c r="A189" s="2" t="s">
        <v>67</v>
      </c>
      <c r="B189" s="6"/>
      <c r="C189" s="6"/>
      <c r="D189" s="6"/>
      <c r="E189" s="6"/>
      <c r="F189" s="6"/>
      <c r="G189" s="49"/>
      <c r="H189" s="49"/>
      <c r="I189" s="49"/>
    </row>
    <row r="190" spans="1:9" hidden="1" x14ac:dyDescent="0.25">
      <c r="A190" s="2" t="s">
        <v>70</v>
      </c>
      <c r="B190" s="6"/>
      <c r="C190" s="6"/>
      <c r="D190" s="6"/>
      <c r="E190" s="6"/>
      <c r="F190" s="6"/>
      <c r="G190" s="49"/>
      <c r="H190" s="49"/>
      <c r="I190" s="49"/>
    </row>
    <row r="191" spans="1:9" hidden="1" x14ac:dyDescent="0.25">
      <c r="A191" s="10" t="s">
        <v>65</v>
      </c>
      <c r="B191" s="6"/>
      <c r="C191" s="6"/>
      <c r="D191" s="6"/>
      <c r="E191" s="6"/>
      <c r="F191" s="6"/>
      <c r="G191" s="49"/>
      <c r="H191" s="49"/>
      <c r="I191" s="49"/>
    </row>
    <row r="192" spans="1:9" hidden="1" x14ac:dyDescent="0.25">
      <c r="A192" s="2" t="s">
        <v>47</v>
      </c>
      <c r="B192" s="6"/>
      <c r="C192" s="6"/>
      <c r="D192" s="6"/>
      <c r="E192" s="6"/>
      <c r="F192" s="6"/>
      <c r="G192" s="49"/>
      <c r="H192" s="49"/>
      <c r="I192" s="49"/>
    </row>
    <row r="193" spans="1:15" hidden="1" x14ac:dyDescent="0.25">
      <c r="A193" s="2" t="s">
        <v>64</v>
      </c>
      <c r="B193" s="6"/>
      <c r="C193" s="6"/>
      <c r="D193" s="6"/>
      <c r="E193" s="6"/>
      <c r="F193" s="6"/>
      <c r="G193" s="49"/>
      <c r="H193" s="49"/>
      <c r="I193" s="49"/>
    </row>
    <row r="194" spans="1:15" hidden="1" x14ac:dyDescent="0.25">
      <c r="A194" s="9" t="s">
        <v>27</v>
      </c>
      <c r="B194" s="6"/>
      <c r="C194" s="6"/>
      <c r="D194" s="6"/>
      <c r="E194" s="6"/>
      <c r="F194" s="6"/>
      <c r="G194" s="49"/>
      <c r="H194" s="49"/>
      <c r="I194" s="49"/>
    </row>
    <row r="195" spans="1:15" hidden="1" x14ac:dyDescent="0.25">
      <c r="A195" s="2" t="s">
        <v>19</v>
      </c>
      <c r="B195" s="6"/>
      <c r="C195" s="6"/>
      <c r="D195" s="6"/>
      <c r="E195" s="6"/>
      <c r="F195" s="6"/>
      <c r="G195" s="49"/>
      <c r="H195" s="49"/>
      <c r="I195" s="49"/>
    </row>
    <row r="196" spans="1:15" hidden="1" x14ac:dyDescent="0.25">
      <c r="A196" s="2" t="s">
        <v>20</v>
      </c>
      <c r="B196" s="6"/>
      <c r="C196" s="6"/>
      <c r="D196" s="6"/>
      <c r="E196" s="6"/>
      <c r="F196" s="6"/>
      <c r="G196" s="49"/>
      <c r="H196" s="49"/>
      <c r="I196" s="49"/>
    </row>
    <row r="197" spans="1:15" hidden="1" x14ac:dyDescent="0.25">
      <c r="A197" s="2" t="s">
        <v>31</v>
      </c>
      <c r="B197" s="6"/>
      <c r="C197" s="6"/>
      <c r="D197" s="6"/>
      <c r="E197" s="6"/>
      <c r="F197" s="6"/>
      <c r="G197" s="49"/>
      <c r="H197" s="49"/>
      <c r="I197" s="49"/>
    </row>
    <row r="198" spans="1:15" hidden="1" x14ac:dyDescent="0.25">
      <c r="A198" s="2" t="s">
        <v>44</v>
      </c>
      <c r="B198" s="6"/>
      <c r="C198" s="6"/>
      <c r="D198" s="6"/>
      <c r="E198" s="6"/>
      <c r="F198" s="6"/>
      <c r="G198" s="49"/>
      <c r="H198" s="49"/>
      <c r="I198" s="49"/>
    </row>
    <row r="199" spans="1:15" hidden="1" x14ac:dyDescent="0.25">
      <c r="A199" s="2" t="s">
        <v>49</v>
      </c>
      <c r="B199" s="6"/>
      <c r="C199" s="6"/>
      <c r="D199" s="6"/>
      <c r="E199" s="6"/>
      <c r="F199" s="6"/>
      <c r="G199" s="49"/>
      <c r="H199" s="49"/>
      <c r="I199" s="49"/>
    </row>
    <row r="200" spans="1:15" hidden="1" x14ac:dyDescent="0.25">
      <c r="A200" s="2" t="s">
        <v>50</v>
      </c>
      <c r="B200" s="6"/>
      <c r="C200" s="6"/>
      <c r="D200" s="6"/>
      <c r="E200" s="6"/>
      <c r="F200" s="6"/>
      <c r="G200" s="49"/>
      <c r="H200" s="49"/>
      <c r="I200" s="49"/>
    </row>
    <row r="201" spans="1:15" hidden="1" x14ac:dyDescent="0.25">
      <c r="A201" s="2" t="s">
        <v>55</v>
      </c>
      <c r="B201" s="6"/>
      <c r="C201" s="6"/>
      <c r="D201" s="6"/>
      <c r="E201" s="6"/>
      <c r="F201" s="6"/>
      <c r="G201" s="49"/>
      <c r="H201" s="49"/>
      <c r="I201" s="49"/>
    </row>
    <row r="202" spans="1:15" hidden="1" x14ac:dyDescent="0.25">
      <c r="A202" s="2" t="s">
        <v>57</v>
      </c>
      <c r="B202" s="6"/>
      <c r="C202" s="6"/>
      <c r="D202" s="6"/>
      <c r="E202" s="6"/>
      <c r="F202" s="6"/>
      <c r="G202" s="49"/>
      <c r="H202" s="49"/>
      <c r="I202" s="49"/>
    </row>
    <row r="203" spans="1:15" hidden="1" x14ac:dyDescent="0.25">
      <c r="A203" s="2" t="s">
        <v>60</v>
      </c>
      <c r="B203" s="6"/>
      <c r="C203" s="6"/>
      <c r="D203" s="6"/>
      <c r="E203" s="6"/>
      <c r="F203" s="6"/>
      <c r="G203" s="49"/>
      <c r="H203" s="49"/>
      <c r="I203" s="49"/>
    </row>
    <row r="204" spans="1:15" x14ac:dyDescent="0.25">
      <c r="A204" s="2" t="s">
        <v>61</v>
      </c>
      <c r="B204" s="6"/>
      <c r="C204" s="6"/>
      <c r="D204" s="6"/>
      <c r="E204" s="6"/>
      <c r="F204" s="6"/>
      <c r="G204" s="49"/>
      <c r="H204" s="49"/>
      <c r="I204" s="49"/>
    </row>
    <row r="205" spans="1:15" x14ac:dyDescent="0.25">
      <c r="A205" s="2"/>
      <c r="B205" s="14"/>
      <c r="C205" s="14"/>
      <c r="D205" s="14"/>
      <c r="E205" s="14"/>
      <c r="F205" s="14"/>
      <c r="G205" s="63"/>
      <c r="H205" s="63"/>
      <c r="I205" s="63"/>
    </row>
    <row r="206" spans="1:15" ht="15.75" thickBot="1" x14ac:dyDescent="0.3">
      <c r="A206" s="7" t="s">
        <v>16</v>
      </c>
      <c r="B206" s="8">
        <f>SUM(B110:B205)</f>
        <v>644.95112999999992</v>
      </c>
      <c r="C206" s="8">
        <f>SUM(C110:C205)</f>
        <v>485.51505999999989</v>
      </c>
      <c r="D206" s="8">
        <f>SUM(D110:D205)</f>
        <v>788.155485</v>
      </c>
      <c r="E206" s="8">
        <f>SUM(E110:E205)</f>
        <v>698.10521499999993</v>
      </c>
      <c r="F206" s="8">
        <f>SUM(F110:F205)</f>
        <v>275.42975999999999</v>
      </c>
      <c r="G206" s="49"/>
      <c r="H206" s="49"/>
      <c r="I206" s="49"/>
    </row>
    <row r="207" spans="1:15" ht="15.75" thickBot="1" x14ac:dyDescent="0.3">
      <c r="A207" s="2"/>
      <c r="B207" s="2"/>
      <c r="C207" s="2"/>
      <c r="D207" s="2"/>
      <c r="E207" s="2"/>
      <c r="F207" s="2"/>
      <c r="G207" s="1"/>
      <c r="J207" s="21" t="s">
        <v>116</v>
      </c>
      <c r="K207" s="23" t="s">
        <v>115</v>
      </c>
      <c r="L207" s="23">
        <v>2016</v>
      </c>
      <c r="M207" s="22">
        <v>2017</v>
      </c>
      <c r="N207" s="28" t="s">
        <v>154</v>
      </c>
      <c r="O207" s="29" t="s">
        <v>153</v>
      </c>
    </row>
    <row r="208" spans="1:15" x14ac:dyDescent="0.25">
      <c r="A208" s="11" t="s">
        <v>17</v>
      </c>
      <c r="B208" s="12">
        <f>B93+B108-B206</f>
        <v>-608.28336999999976</v>
      </c>
      <c r="C208" s="12">
        <f>C93+C108-C206</f>
        <v>-1093.7984299999996</v>
      </c>
      <c r="D208" s="12">
        <f>D93+D108-D206</f>
        <v>-1881.9539149999996</v>
      </c>
      <c r="E208" s="12">
        <f>E93+E108-E206</f>
        <v>-2384.0591299999996</v>
      </c>
      <c r="F208" s="12">
        <f>F93+F108-F206</f>
        <v>-2179.4888899999996</v>
      </c>
      <c r="J208" s="19" t="s">
        <v>113</v>
      </c>
      <c r="K208" s="24">
        <f>SUM(B110:B111,D111,E111)</f>
        <v>582</v>
      </c>
      <c r="L208" s="24">
        <f>SUM(B117:F117,B118,C118,B122,B123,B125,C130,D130,E130,C132,C135,E135,C139)</f>
        <v>231.242155</v>
      </c>
      <c r="M208" s="25">
        <f>SUM(B112,C112,F112,B115,B116,C116,D116,E116,F116,D118,E118,F118,B119,B120,B121,D122,E122,B124,C124,F124,E125,D126,F126,B126,E127,C129,C131,D131,E132,C133)+SUM(E133,C136,C137,D137,C140,C141,C142,D143,D144,D145,E145,D146,E146)+SUM(D147,D148,D149,E150,E151)+SUM(F113,D114,E128,D134,C138)</f>
        <v>2078.9144949999995</v>
      </c>
      <c r="N208" s="24">
        <f>SUM(K208:M208)</f>
        <v>2892.1566499999994</v>
      </c>
      <c r="O208" s="24">
        <f>SUM(L208:M208)</f>
        <v>2310.1566499999994</v>
      </c>
    </row>
    <row r="209" spans="1:15" ht="15.75" thickBot="1" x14ac:dyDescent="0.3">
      <c r="A209" s="4" t="s">
        <v>26</v>
      </c>
      <c r="B209" s="5">
        <f>B208/0.004</f>
        <v>-152070.84249999994</v>
      </c>
      <c r="C209" s="5">
        <f>C208/0.004</f>
        <v>-273449.60749999987</v>
      </c>
      <c r="D209" s="5">
        <f>D208/0.004</f>
        <v>-470488.47874999989</v>
      </c>
      <c r="E209" s="5">
        <f>E208/0.004</f>
        <v>-596014.78249999986</v>
      </c>
      <c r="F209" s="5">
        <f>F208/0.004</f>
        <v>-544872.22249999992</v>
      </c>
      <c r="J209" s="20" t="s">
        <v>114</v>
      </c>
      <c r="K209" s="26">
        <f>K208/4</f>
        <v>145.5</v>
      </c>
      <c r="L209" s="26">
        <f>L208/4</f>
        <v>57.810538749999999</v>
      </c>
      <c r="M209" s="27">
        <f>M208/4</f>
        <v>519.72862374999988</v>
      </c>
      <c r="N209" s="26">
        <f>SUM(K209:M209)</f>
        <v>723.03916249999986</v>
      </c>
      <c r="O209" s="26">
        <f>SUM(L209:M209)</f>
        <v>577.53916249999986</v>
      </c>
    </row>
  </sheetData>
  <sortState xmlns:xlrd2="http://schemas.microsoft.com/office/spreadsheetml/2017/richdata2" ref="A71:F107">
    <sortCondition descending="1" ref="B20:B56"/>
    <sortCondition descending="1" ref="C20:C56"/>
    <sortCondition descending="1" ref="D20:D56"/>
    <sortCondition descending="1" ref="E20:E56"/>
    <sortCondition descending="1" ref="F20:F56"/>
  </sortState>
  <mergeCells count="1">
    <mergeCell ref="B6:D6"/>
  </mergeCells>
  <pageMargins left="0.35433070866141736" right="0.27559055118110237" top="0.74803149606299213" bottom="0.74803149606299213" header="0.31496062992125984" footer="0.31496062992125984"/>
  <pageSetup paperSize="9" scale="75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workbookViewId="0">
      <selection activeCell="A24" sqref="A24"/>
    </sheetView>
  </sheetViews>
  <sheetFormatPr defaultRowHeight="18.75" x14ac:dyDescent="0.3"/>
  <cols>
    <col min="1" max="1" width="38.5703125" style="128" bestFit="1" customWidth="1"/>
    <col min="2" max="2" width="22.85546875" style="134" bestFit="1" customWidth="1"/>
    <col min="3" max="6" width="9.140625" style="129"/>
    <col min="7" max="16384" width="9.140625" style="128"/>
  </cols>
  <sheetData>
    <row r="1" spans="1:6" s="132" customFormat="1" ht="19.5" x14ac:dyDescent="0.35">
      <c r="A1" s="135" t="s">
        <v>383</v>
      </c>
      <c r="B1" s="136"/>
      <c r="C1" s="137"/>
      <c r="D1" s="133"/>
      <c r="E1" s="133"/>
      <c r="F1" s="133"/>
    </row>
    <row r="2" spans="1:6" ht="24" x14ac:dyDescent="0.65">
      <c r="A2" s="138"/>
      <c r="B2" s="139" t="s">
        <v>113</v>
      </c>
      <c r="C2" s="140"/>
    </row>
    <row r="3" spans="1:6" x14ac:dyDescent="0.3">
      <c r="A3" s="138" t="s">
        <v>369</v>
      </c>
      <c r="B3" s="141">
        <v>69400</v>
      </c>
      <c r="C3" s="140"/>
    </row>
    <row r="4" spans="1:6" x14ac:dyDescent="0.3">
      <c r="A4" s="138"/>
      <c r="B4" s="141"/>
      <c r="C4" s="140"/>
    </row>
    <row r="5" spans="1:6" x14ac:dyDescent="0.3">
      <c r="A5" s="138" t="s">
        <v>370</v>
      </c>
      <c r="B5" s="141">
        <v>44410</v>
      </c>
      <c r="C5" s="140"/>
    </row>
    <row r="6" spans="1:6" x14ac:dyDescent="0.3">
      <c r="A6" s="138"/>
      <c r="B6" s="141"/>
      <c r="C6" s="140"/>
    </row>
    <row r="7" spans="1:6" x14ac:dyDescent="0.3">
      <c r="A7" s="138" t="s">
        <v>373</v>
      </c>
      <c r="B7" s="141">
        <v>9000</v>
      </c>
      <c r="C7" s="140"/>
    </row>
    <row r="8" spans="1:6" x14ac:dyDescent="0.3">
      <c r="A8" s="138"/>
      <c r="B8" s="141"/>
      <c r="C8" s="140"/>
    </row>
    <row r="9" spans="1:6" x14ac:dyDescent="0.3">
      <c r="A9" s="138" t="s">
        <v>372</v>
      </c>
      <c r="B9" s="141">
        <v>128500</v>
      </c>
      <c r="C9" s="140"/>
    </row>
    <row r="10" spans="1:6" x14ac:dyDescent="0.3">
      <c r="A10" s="138"/>
      <c r="B10" s="141"/>
      <c r="C10" s="140"/>
    </row>
    <row r="11" spans="1:6" ht="37.5" x14ac:dyDescent="0.3">
      <c r="A11" s="146" t="s">
        <v>384</v>
      </c>
      <c r="B11" s="141">
        <v>4200</v>
      </c>
      <c r="C11" s="140"/>
    </row>
    <row r="12" spans="1:6" x14ac:dyDescent="0.3">
      <c r="A12" s="138"/>
      <c r="B12" s="141"/>
      <c r="C12" s="140"/>
    </row>
    <row r="13" spans="1:6" s="130" customFormat="1" ht="19.5" x14ac:dyDescent="0.35">
      <c r="A13" s="142" t="s">
        <v>371</v>
      </c>
      <c r="B13" s="143">
        <f>SUM(B3:B11)</f>
        <v>255510</v>
      </c>
      <c r="C13" s="144"/>
      <c r="D13" s="131"/>
      <c r="E13" s="131"/>
      <c r="F13" s="131"/>
    </row>
    <row r="14" spans="1:6" x14ac:dyDescent="0.3">
      <c r="A14" s="138"/>
      <c r="B14" s="141"/>
      <c r="C14" s="140"/>
    </row>
    <row r="15" spans="1:6" x14ac:dyDescent="0.3">
      <c r="A15" s="138"/>
      <c r="B15" s="141"/>
      <c r="C15" s="140"/>
    </row>
    <row r="16" spans="1:6" x14ac:dyDescent="0.3">
      <c r="A16" s="138"/>
      <c r="B16" s="141"/>
      <c r="C16" s="140"/>
    </row>
    <row r="17" spans="1:3" x14ac:dyDescent="0.3">
      <c r="A17" s="138"/>
      <c r="B17" s="141"/>
      <c r="C17" s="140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7"/>
  <sheetViews>
    <sheetView zoomScaleNormal="100" workbookViewId="0">
      <selection activeCell="B25" sqref="B25"/>
    </sheetView>
  </sheetViews>
  <sheetFormatPr defaultRowHeight="18.75" x14ac:dyDescent="0.3"/>
  <cols>
    <col min="1" max="1" width="38.5703125" style="128" bestFit="1" customWidth="1"/>
    <col min="2" max="2" width="22.85546875" style="134" bestFit="1" customWidth="1"/>
    <col min="3" max="6" width="9.140625" style="129"/>
    <col min="7" max="16384" width="9.140625" style="128"/>
  </cols>
  <sheetData>
    <row r="1" spans="1:6" s="132" customFormat="1" ht="19.5" x14ac:dyDescent="0.35">
      <c r="A1" s="135" t="s">
        <v>385</v>
      </c>
      <c r="B1" s="136"/>
      <c r="C1" s="137"/>
      <c r="D1" s="133"/>
      <c r="E1" s="133"/>
      <c r="F1" s="133"/>
    </row>
    <row r="2" spans="1:6" ht="24" x14ac:dyDescent="0.65">
      <c r="A2" s="138"/>
      <c r="B2" s="139" t="s">
        <v>113</v>
      </c>
      <c r="C2" s="140"/>
    </row>
    <row r="3" spans="1:6" x14ac:dyDescent="0.3">
      <c r="A3" s="138" t="s">
        <v>369</v>
      </c>
      <c r="B3" s="141">
        <v>69400</v>
      </c>
      <c r="C3" s="140"/>
    </row>
    <row r="4" spans="1:6" x14ac:dyDescent="0.3">
      <c r="A4" s="138"/>
      <c r="B4" s="141"/>
      <c r="C4" s="140"/>
    </row>
    <row r="5" spans="1:6" x14ac:dyDescent="0.3">
      <c r="A5" s="138" t="s">
        <v>370</v>
      </c>
      <c r="B5" s="141">
        <v>44410</v>
      </c>
      <c r="C5" s="140"/>
    </row>
    <row r="6" spans="1:6" x14ac:dyDescent="0.3">
      <c r="A6" s="138"/>
      <c r="B6" s="141"/>
      <c r="C6" s="140"/>
    </row>
    <row r="7" spans="1:6" x14ac:dyDescent="0.3">
      <c r="A7" s="138" t="s">
        <v>373</v>
      </c>
      <c r="B7" s="141">
        <v>9000</v>
      </c>
      <c r="C7" s="140"/>
    </row>
    <row r="8" spans="1:6" x14ac:dyDescent="0.3">
      <c r="A8" s="138"/>
      <c r="B8" s="141"/>
      <c r="C8" s="140"/>
    </row>
    <row r="9" spans="1:6" x14ac:dyDescent="0.3">
      <c r="A9" s="138" t="s">
        <v>372</v>
      </c>
      <c r="B9" s="141">
        <v>128500</v>
      </c>
      <c r="C9" s="140"/>
    </row>
    <row r="10" spans="1:6" x14ac:dyDescent="0.3">
      <c r="A10" s="138"/>
      <c r="B10" s="141"/>
      <c r="C10" s="140"/>
    </row>
    <row r="11" spans="1:6" ht="37.5" x14ac:dyDescent="0.3">
      <c r="A11" s="146" t="s">
        <v>375</v>
      </c>
      <c r="B11" s="141">
        <v>4200</v>
      </c>
      <c r="C11" s="140"/>
    </row>
    <row r="12" spans="1:6" x14ac:dyDescent="0.3">
      <c r="A12" s="138"/>
      <c r="B12" s="141"/>
      <c r="C12" s="140"/>
    </row>
    <row r="13" spans="1:6" s="130" customFormat="1" ht="19.5" x14ac:dyDescent="0.35">
      <c r="A13" s="142" t="s">
        <v>371</v>
      </c>
      <c r="B13" s="143">
        <f>SUM(B3:B11)</f>
        <v>255510</v>
      </c>
      <c r="C13" s="144"/>
      <c r="D13" s="131"/>
      <c r="E13" s="131"/>
      <c r="F13" s="131"/>
    </row>
    <row r="14" spans="1:6" x14ac:dyDescent="0.3">
      <c r="A14" s="138"/>
      <c r="B14" s="141"/>
      <c r="C14" s="140"/>
    </row>
    <row r="15" spans="1:6" x14ac:dyDescent="0.3">
      <c r="A15" s="138"/>
      <c r="B15" s="141"/>
      <c r="C15" s="140"/>
    </row>
    <row r="16" spans="1:6" x14ac:dyDescent="0.3">
      <c r="A16" s="138"/>
      <c r="B16" s="141"/>
      <c r="C16" s="140"/>
    </row>
    <row r="17" spans="1:3" x14ac:dyDescent="0.3">
      <c r="A17" s="138"/>
      <c r="B17" s="141"/>
      <c r="C17" s="140"/>
    </row>
  </sheetData>
  <pageMargins left="0.7" right="0.7" top="0.75" bottom="0.75" header="0.3" footer="0.3"/>
  <pageSetup paperSize="9" scale="8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B19" sqref="B19"/>
    </sheetView>
  </sheetViews>
  <sheetFormatPr defaultRowHeight="18.75" x14ac:dyDescent="0.3"/>
  <cols>
    <col min="1" max="1" width="45.5703125" style="128" bestFit="1" customWidth="1"/>
    <col min="2" max="2" width="22.85546875" style="134" bestFit="1" customWidth="1"/>
    <col min="3" max="6" width="9.140625" style="129"/>
    <col min="7" max="16384" width="9.140625" style="128"/>
  </cols>
  <sheetData>
    <row r="1" spans="1:6" s="132" customFormat="1" ht="19.5" x14ac:dyDescent="0.35">
      <c r="A1" s="135" t="s">
        <v>386</v>
      </c>
      <c r="B1" s="136"/>
      <c r="C1" s="137"/>
      <c r="D1" s="133"/>
      <c r="E1" s="133"/>
      <c r="F1" s="133"/>
    </row>
    <row r="2" spans="1:6" ht="24" x14ac:dyDescent="0.65">
      <c r="A2" s="138"/>
      <c r="B2" s="139" t="s">
        <v>113</v>
      </c>
      <c r="C2" s="140"/>
    </row>
    <row r="3" spans="1:6" x14ac:dyDescent="0.3">
      <c r="A3" s="138" t="s">
        <v>369</v>
      </c>
      <c r="B3" s="141">
        <v>69400</v>
      </c>
      <c r="C3" s="140"/>
    </row>
    <row r="4" spans="1:6" x14ac:dyDescent="0.3">
      <c r="A4" s="138"/>
      <c r="B4" s="141"/>
      <c r="C4" s="140"/>
    </row>
    <row r="5" spans="1:6" x14ac:dyDescent="0.3">
      <c r="A5" s="138" t="s">
        <v>370</v>
      </c>
      <c r="B5" s="141">
        <v>44410</v>
      </c>
      <c r="C5" s="140"/>
    </row>
    <row r="6" spans="1:6" x14ac:dyDescent="0.3">
      <c r="A6" s="138"/>
      <c r="B6" s="141"/>
      <c r="C6" s="140"/>
    </row>
    <row r="7" spans="1:6" x14ac:dyDescent="0.3">
      <c r="A7" s="138" t="s">
        <v>373</v>
      </c>
      <c r="B7" s="141">
        <v>9000</v>
      </c>
      <c r="C7" s="140"/>
    </row>
    <row r="8" spans="1:6" x14ac:dyDescent="0.3">
      <c r="A8" s="138"/>
      <c r="B8" s="141"/>
      <c r="C8" s="140"/>
    </row>
    <row r="9" spans="1:6" x14ac:dyDescent="0.3">
      <c r="A9" s="138" t="s">
        <v>372</v>
      </c>
      <c r="B9" s="141">
        <v>128500</v>
      </c>
      <c r="C9" s="140"/>
    </row>
    <row r="10" spans="1:6" x14ac:dyDescent="0.3">
      <c r="A10" s="138"/>
      <c r="B10" s="141"/>
      <c r="C10" s="140"/>
    </row>
    <row r="11" spans="1:6" ht="37.5" x14ac:dyDescent="0.3">
      <c r="A11" s="146" t="s">
        <v>375</v>
      </c>
      <c r="B11" s="141">
        <v>4200</v>
      </c>
      <c r="C11" s="140"/>
    </row>
    <row r="12" spans="1:6" x14ac:dyDescent="0.3">
      <c r="A12" s="138"/>
      <c r="B12" s="141"/>
      <c r="C12" s="140"/>
    </row>
    <row r="13" spans="1:6" x14ac:dyDescent="0.3">
      <c r="A13" s="138" t="s">
        <v>387</v>
      </c>
      <c r="B13" s="141">
        <f>75000*5</f>
        <v>375000</v>
      </c>
      <c r="C13" s="140"/>
    </row>
    <row r="14" spans="1:6" x14ac:dyDescent="0.3">
      <c r="A14" s="138"/>
      <c r="B14" s="141"/>
      <c r="C14" s="140"/>
    </row>
    <row r="15" spans="1:6" s="130" customFormat="1" ht="19.5" x14ac:dyDescent="0.35">
      <c r="A15" s="142" t="s">
        <v>371</v>
      </c>
      <c r="B15" s="143">
        <f>SUM(B3:B14)</f>
        <v>630510</v>
      </c>
      <c r="C15" s="144"/>
      <c r="D15" s="131"/>
      <c r="E15" s="131"/>
      <c r="F15" s="131"/>
    </row>
    <row r="16" spans="1:6" x14ac:dyDescent="0.3">
      <c r="A16" s="138"/>
      <c r="B16" s="141"/>
      <c r="C16" s="140"/>
    </row>
    <row r="17" spans="1:3" x14ac:dyDescent="0.3">
      <c r="A17" s="138"/>
      <c r="B17" s="141"/>
      <c r="C17" s="140"/>
    </row>
    <row r="18" spans="1:3" x14ac:dyDescent="0.3">
      <c r="A18" s="138"/>
      <c r="B18" s="141"/>
      <c r="C18" s="140"/>
    </row>
    <row r="19" spans="1:3" x14ac:dyDescent="0.3">
      <c r="A19" s="138"/>
      <c r="B19" s="141"/>
      <c r="C19" s="140"/>
    </row>
  </sheetData>
  <pageMargins left="0.7" right="0.7" top="0.75" bottom="0.75" header="0.3" footer="0.3"/>
  <pageSetup paperSize="9" scale="8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9"/>
  <sheetViews>
    <sheetView zoomScaleNormal="100" workbookViewId="0">
      <selection activeCell="B13" sqref="B13"/>
    </sheetView>
  </sheetViews>
  <sheetFormatPr defaultRowHeight="18.75" x14ac:dyDescent="0.3"/>
  <cols>
    <col min="1" max="1" width="45.5703125" style="128" bestFit="1" customWidth="1"/>
    <col min="2" max="2" width="22.85546875" style="134" bestFit="1" customWidth="1"/>
    <col min="3" max="3" width="9.140625" style="129"/>
    <col min="4" max="4" width="11.7109375" style="129" bestFit="1" customWidth="1"/>
    <col min="5" max="6" width="9.140625" style="129"/>
    <col min="7" max="16384" width="9.140625" style="128"/>
  </cols>
  <sheetData>
    <row r="1" spans="1:6" s="132" customFormat="1" ht="19.5" x14ac:dyDescent="0.35">
      <c r="A1" s="135" t="s">
        <v>388</v>
      </c>
      <c r="B1" s="136"/>
      <c r="C1" s="137"/>
      <c r="D1" s="133"/>
      <c r="E1" s="133"/>
      <c r="F1" s="133"/>
    </row>
    <row r="2" spans="1:6" ht="24" x14ac:dyDescent="0.65">
      <c r="A2" s="138"/>
      <c r="B2" s="139" t="s">
        <v>113</v>
      </c>
      <c r="C2" s="140"/>
    </row>
    <row r="3" spans="1:6" x14ac:dyDescent="0.3">
      <c r="A3" s="138" t="s">
        <v>369</v>
      </c>
      <c r="B3" s="141">
        <v>69400</v>
      </c>
      <c r="C3" s="140"/>
    </row>
    <row r="4" spans="1:6" x14ac:dyDescent="0.3">
      <c r="A4" s="138"/>
      <c r="B4" s="141"/>
      <c r="C4" s="140"/>
    </row>
    <row r="5" spans="1:6" x14ac:dyDescent="0.3">
      <c r="A5" s="138" t="s">
        <v>370</v>
      </c>
      <c r="B5" s="141">
        <v>44410</v>
      </c>
      <c r="C5" s="140"/>
    </row>
    <row r="6" spans="1:6" x14ac:dyDescent="0.3">
      <c r="A6" s="138"/>
      <c r="B6" s="141"/>
      <c r="C6" s="140"/>
    </row>
    <row r="7" spans="1:6" x14ac:dyDescent="0.3">
      <c r="A7" s="138" t="s">
        <v>373</v>
      </c>
      <c r="B7" s="141">
        <v>9000</v>
      </c>
      <c r="C7" s="140"/>
    </row>
    <row r="8" spans="1:6" x14ac:dyDescent="0.3">
      <c r="A8" s="138"/>
      <c r="B8" s="141"/>
      <c r="C8" s="140"/>
    </row>
    <row r="9" spans="1:6" x14ac:dyDescent="0.3">
      <c r="A9" s="138" t="s">
        <v>372</v>
      </c>
      <c r="B9" s="141">
        <v>128500</v>
      </c>
      <c r="C9" s="140"/>
    </row>
    <row r="10" spans="1:6" x14ac:dyDescent="0.3">
      <c r="A10" s="138"/>
      <c r="B10" s="141"/>
      <c r="C10" s="140"/>
    </row>
    <row r="11" spans="1:6" ht="37.5" x14ac:dyDescent="0.3">
      <c r="A11" s="146" t="s">
        <v>375</v>
      </c>
      <c r="B11" s="141">
        <v>4200</v>
      </c>
      <c r="C11" s="140"/>
    </row>
    <row r="12" spans="1:6" x14ac:dyDescent="0.3">
      <c r="A12" s="146"/>
      <c r="B12" s="141"/>
      <c r="C12" s="140"/>
    </row>
    <row r="13" spans="1:6" x14ac:dyDescent="0.3">
      <c r="A13" s="138"/>
      <c r="B13" s="141"/>
      <c r="C13" s="140"/>
    </row>
    <row r="14" spans="1:6" x14ac:dyDescent="0.3">
      <c r="A14" s="138"/>
      <c r="B14" s="141"/>
      <c r="C14" s="140"/>
    </row>
    <row r="15" spans="1:6" s="130" customFormat="1" ht="19.5" x14ac:dyDescent="0.35">
      <c r="A15" s="142" t="s">
        <v>371</v>
      </c>
      <c r="B15" s="143">
        <f>SUM(B3:B14)</f>
        <v>255510</v>
      </c>
      <c r="C15" s="144"/>
      <c r="D15" s="131"/>
      <c r="E15" s="131"/>
      <c r="F15" s="131"/>
    </row>
    <row r="16" spans="1:6" x14ac:dyDescent="0.3">
      <c r="A16" s="138"/>
      <c r="B16" s="141"/>
      <c r="C16" s="140"/>
    </row>
    <row r="17" spans="1:3" x14ac:dyDescent="0.3">
      <c r="A17" s="138"/>
      <c r="B17" s="141"/>
      <c r="C17" s="140"/>
    </row>
    <row r="18" spans="1:3" x14ac:dyDescent="0.3">
      <c r="A18" s="138"/>
      <c r="B18" s="141"/>
      <c r="C18" s="140"/>
    </row>
    <row r="19" spans="1:3" x14ac:dyDescent="0.3">
      <c r="A19" s="138"/>
      <c r="B19" s="141"/>
      <c r="C19" s="140"/>
    </row>
  </sheetData>
  <pageMargins left="0.7" right="0.7" top="0.75" bottom="0.75" header="0.3" footer="0.3"/>
  <pageSetup paperSize="9" scale="8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"/>
  <sheetViews>
    <sheetView workbookViewId="0">
      <selection activeCell="C24" sqref="C24"/>
    </sheetView>
  </sheetViews>
  <sheetFormatPr defaultRowHeight="18.75" x14ac:dyDescent="0.3"/>
  <cols>
    <col min="1" max="1" width="45.5703125" style="128" bestFit="1" customWidth="1"/>
    <col min="2" max="2" width="20.5703125" style="134" bestFit="1" customWidth="1"/>
    <col min="3" max="6" width="9.140625" style="129"/>
    <col min="7" max="16384" width="9.140625" style="128"/>
  </cols>
  <sheetData>
    <row r="1" spans="1:6" s="132" customFormat="1" ht="19.5" x14ac:dyDescent="0.35">
      <c r="A1" s="135" t="s">
        <v>389</v>
      </c>
      <c r="B1" s="136"/>
      <c r="C1" s="137"/>
      <c r="D1" s="133"/>
      <c r="E1" s="133"/>
      <c r="F1" s="133"/>
    </row>
    <row r="2" spans="1:6" ht="24" x14ac:dyDescent="0.65">
      <c r="A2" s="138"/>
      <c r="B2" s="139" t="s">
        <v>113</v>
      </c>
      <c r="C2" s="140"/>
    </row>
    <row r="3" spans="1:6" x14ac:dyDescent="0.3">
      <c r="A3" s="138" t="s">
        <v>369</v>
      </c>
      <c r="B3" s="141">
        <v>69400</v>
      </c>
      <c r="C3" s="140"/>
    </row>
    <row r="4" spans="1:6" x14ac:dyDescent="0.3">
      <c r="A4" s="138"/>
      <c r="B4" s="141"/>
      <c r="C4" s="140"/>
    </row>
    <row r="5" spans="1:6" x14ac:dyDescent="0.3">
      <c r="A5" s="138" t="s">
        <v>370</v>
      </c>
      <c r="B5" s="141">
        <v>44410</v>
      </c>
      <c r="C5" s="140"/>
    </row>
    <row r="6" spans="1:6" x14ac:dyDescent="0.3">
      <c r="A6" s="138"/>
      <c r="B6" s="141"/>
      <c r="C6" s="140"/>
    </row>
    <row r="7" spans="1:6" x14ac:dyDescent="0.3">
      <c r="A7" s="138" t="s">
        <v>373</v>
      </c>
      <c r="B7" s="141">
        <v>9000</v>
      </c>
      <c r="C7" s="140"/>
    </row>
    <row r="8" spans="1:6" x14ac:dyDescent="0.3">
      <c r="A8" s="138"/>
      <c r="B8" s="141"/>
      <c r="C8" s="140"/>
    </row>
    <row r="9" spans="1:6" x14ac:dyDescent="0.3">
      <c r="A9" s="138" t="s">
        <v>372</v>
      </c>
      <c r="B9" s="141">
        <v>128500</v>
      </c>
      <c r="C9" s="140"/>
    </row>
    <row r="10" spans="1:6" x14ac:dyDescent="0.3">
      <c r="A10" s="138"/>
      <c r="B10" s="141"/>
      <c r="C10" s="140"/>
    </row>
    <row r="11" spans="1:6" ht="37.5" x14ac:dyDescent="0.3">
      <c r="A11" s="146" t="s">
        <v>375</v>
      </c>
      <c r="B11" s="141">
        <v>4200</v>
      </c>
      <c r="C11" s="140"/>
    </row>
    <row r="12" spans="1:6" x14ac:dyDescent="0.3">
      <c r="A12" s="138"/>
      <c r="B12" s="141"/>
      <c r="C12" s="140"/>
    </row>
    <row r="13" spans="1:6" x14ac:dyDescent="0.3">
      <c r="A13" s="138"/>
      <c r="B13" s="141"/>
      <c r="C13" s="140"/>
    </row>
    <row r="14" spans="1:6" s="130" customFormat="1" ht="19.5" x14ac:dyDescent="0.35">
      <c r="A14" s="142" t="s">
        <v>371</v>
      </c>
      <c r="B14" s="143">
        <f>SUM(B3:B13)</f>
        <v>255510</v>
      </c>
      <c r="C14" s="144"/>
      <c r="D14" s="131"/>
      <c r="E14" s="131"/>
      <c r="F14" s="131"/>
    </row>
    <row r="15" spans="1:6" x14ac:dyDescent="0.3">
      <c r="A15" s="138"/>
      <c r="B15" s="141"/>
      <c r="C15" s="140"/>
    </row>
    <row r="16" spans="1:6" x14ac:dyDescent="0.3">
      <c r="A16" s="138"/>
      <c r="B16" s="141"/>
      <c r="C16" s="140"/>
    </row>
    <row r="17" spans="1:3" x14ac:dyDescent="0.3">
      <c r="A17" s="138"/>
      <c r="B17" s="141"/>
      <c r="C17" s="140"/>
    </row>
    <row r="18" spans="1:3" x14ac:dyDescent="0.3">
      <c r="A18" s="138"/>
      <c r="B18" s="141"/>
      <c r="C18" s="14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"/>
  <sheetViews>
    <sheetView workbookViewId="0">
      <selection activeCell="E23" sqref="E23"/>
    </sheetView>
  </sheetViews>
  <sheetFormatPr defaultRowHeight="18.75" x14ac:dyDescent="0.3"/>
  <cols>
    <col min="1" max="1" width="45.5703125" style="128" bestFit="1" customWidth="1"/>
    <col min="2" max="2" width="22.85546875" style="134" bestFit="1" customWidth="1"/>
    <col min="3" max="6" width="9.140625" style="129"/>
    <col min="7" max="16384" width="9.140625" style="128"/>
  </cols>
  <sheetData>
    <row r="1" spans="1:6" s="132" customFormat="1" ht="19.5" x14ac:dyDescent="0.35">
      <c r="A1" s="135" t="s">
        <v>390</v>
      </c>
      <c r="B1" s="136"/>
      <c r="C1" s="137"/>
      <c r="D1" s="133"/>
      <c r="E1" s="133"/>
      <c r="F1" s="133"/>
    </row>
    <row r="2" spans="1:6" ht="24" x14ac:dyDescent="0.65">
      <c r="A2" s="138"/>
      <c r="B2" s="139" t="s">
        <v>113</v>
      </c>
      <c r="C2" s="140"/>
    </row>
    <row r="3" spans="1:6" x14ac:dyDescent="0.3">
      <c r="A3" s="138" t="s">
        <v>369</v>
      </c>
      <c r="B3" s="141">
        <v>69400</v>
      </c>
      <c r="C3" s="140"/>
    </row>
    <row r="4" spans="1:6" x14ac:dyDescent="0.3">
      <c r="A4" s="138"/>
      <c r="B4" s="141"/>
      <c r="C4" s="140"/>
    </row>
    <row r="5" spans="1:6" x14ac:dyDescent="0.3">
      <c r="A5" s="138" t="s">
        <v>370</v>
      </c>
      <c r="B5" s="141">
        <v>44410</v>
      </c>
      <c r="C5" s="140"/>
    </row>
    <row r="6" spans="1:6" x14ac:dyDescent="0.3">
      <c r="A6" s="138"/>
      <c r="B6" s="141"/>
      <c r="C6" s="140"/>
    </row>
    <row r="7" spans="1:6" x14ac:dyDescent="0.3">
      <c r="A7" s="138" t="s">
        <v>373</v>
      </c>
      <c r="B7" s="141">
        <v>9000</v>
      </c>
      <c r="C7" s="140"/>
    </row>
    <row r="8" spans="1:6" x14ac:dyDescent="0.3">
      <c r="A8" s="138"/>
      <c r="B8" s="141"/>
      <c r="C8" s="140"/>
    </row>
    <row r="9" spans="1:6" x14ac:dyDescent="0.3">
      <c r="A9" s="138" t="s">
        <v>372</v>
      </c>
      <c r="B9" s="141">
        <v>128500</v>
      </c>
      <c r="C9" s="140"/>
    </row>
    <row r="10" spans="1:6" x14ac:dyDescent="0.3">
      <c r="A10" s="138"/>
      <c r="B10" s="141"/>
      <c r="C10" s="140"/>
    </row>
    <row r="11" spans="1:6" ht="37.5" x14ac:dyDescent="0.3">
      <c r="A11" s="146" t="s">
        <v>375</v>
      </c>
      <c r="B11" s="141">
        <v>4200</v>
      </c>
      <c r="C11" s="140"/>
    </row>
    <row r="12" spans="1:6" x14ac:dyDescent="0.3">
      <c r="A12" s="138"/>
      <c r="B12" s="141"/>
      <c r="C12" s="140"/>
    </row>
    <row r="13" spans="1:6" x14ac:dyDescent="0.3">
      <c r="A13" s="138"/>
      <c r="B13" s="141"/>
      <c r="C13" s="140"/>
    </row>
    <row r="14" spans="1:6" s="130" customFormat="1" ht="19.5" x14ac:dyDescent="0.35">
      <c r="A14" s="142" t="s">
        <v>371</v>
      </c>
      <c r="B14" s="143">
        <f>SUM(B3:B13)</f>
        <v>255510</v>
      </c>
      <c r="C14" s="144"/>
      <c r="D14" s="131"/>
      <c r="E14" s="131"/>
      <c r="F14" s="131"/>
    </row>
    <row r="15" spans="1:6" x14ac:dyDescent="0.3">
      <c r="A15" s="138"/>
      <c r="B15" s="141"/>
      <c r="C15" s="140"/>
    </row>
    <row r="16" spans="1:6" x14ac:dyDescent="0.3">
      <c r="A16" s="138"/>
      <c r="B16" s="141"/>
      <c r="C16" s="140"/>
    </row>
    <row r="17" spans="1:3" x14ac:dyDescent="0.3">
      <c r="A17" s="138"/>
      <c r="B17" s="141"/>
      <c r="C17" s="140"/>
    </row>
    <row r="18" spans="1:3" x14ac:dyDescent="0.3">
      <c r="A18" s="138"/>
      <c r="B18" s="141"/>
      <c r="C18" s="140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8"/>
  <sheetViews>
    <sheetView workbookViewId="0">
      <selection activeCell="B21" sqref="B21"/>
    </sheetView>
  </sheetViews>
  <sheetFormatPr defaultRowHeight="18.75" x14ac:dyDescent="0.3"/>
  <cols>
    <col min="1" max="1" width="45.5703125" style="128" bestFit="1" customWidth="1"/>
    <col min="2" max="2" width="20.5703125" style="134" bestFit="1" customWidth="1"/>
    <col min="3" max="6" width="9.140625" style="129"/>
    <col min="7" max="16384" width="9.140625" style="128"/>
  </cols>
  <sheetData>
    <row r="1" spans="1:6" s="132" customFormat="1" ht="19.5" x14ac:dyDescent="0.35">
      <c r="A1" s="135" t="s">
        <v>391</v>
      </c>
      <c r="B1" s="136"/>
      <c r="C1" s="137"/>
      <c r="D1" s="133"/>
      <c r="E1" s="133"/>
      <c r="F1" s="133"/>
    </row>
    <row r="2" spans="1:6" ht="24" x14ac:dyDescent="0.65">
      <c r="A2" s="138"/>
      <c r="B2" s="139" t="s">
        <v>113</v>
      </c>
      <c r="C2" s="140"/>
    </row>
    <row r="3" spans="1:6" x14ac:dyDescent="0.3">
      <c r="A3" s="138" t="s">
        <v>369</v>
      </c>
      <c r="B3" s="141">
        <v>69400</v>
      </c>
      <c r="C3" s="140"/>
    </row>
    <row r="4" spans="1:6" x14ac:dyDescent="0.3">
      <c r="A4" s="138"/>
      <c r="B4" s="141"/>
      <c r="C4" s="140"/>
    </row>
    <row r="5" spans="1:6" x14ac:dyDescent="0.3">
      <c r="A5" s="138" t="s">
        <v>370</v>
      </c>
      <c r="B5" s="141">
        <v>44410</v>
      </c>
      <c r="C5" s="140"/>
    </row>
    <row r="6" spans="1:6" x14ac:dyDescent="0.3">
      <c r="A6" s="138"/>
      <c r="B6" s="141"/>
      <c r="C6" s="140"/>
    </row>
    <row r="7" spans="1:6" x14ac:dyDescent="0.3">
      <c r="A7" s="138" t="s">
        <v>373</v>
      </c>
      <c r="B7" s="141">
        <v>9000</v>
      </c>
      <c r="C7" s="140"/>
    </row>
    <row r="8" spans="1:6" x14ac:dyDescent="0.3">
      <c r="A8" s="138"/>
      <c r="B8" s="141"/>
      <c r="C8" s="140"/>
    </row>
    <row r="9" spans="1:6" x14ac:dyDescent="0.3">
      <c r="A9" s="138" t="s">
        <v>372</v>
      </c>
      <c r="B9" s="141">
        <v>128500</v>
      </c>
      <c r="C9" s="140"/>
    </row>
    <row r="10" spans="1:6" x14ac:dyDescent="0.3">
      <c r="A10" s="138"/>
      <c r="B10" s="141"/>
      <c r="C10" s="140"/>
    </row>
    <row r="11" spans="1:6" ht="37.5" x14ac:dyDescent="0.3">
      <c r="A11" s="146" t="s">
        <v>375</v>
      </c>
      <c r="B11" s="141">
        <v>4200</v>
      </c>
      <c r="C11" s="140"/>
    </row>
    <row r="12" spans="1:6" x14ac:dyDescent="0.3">
      <c r="A12" s="138"/>
      <c r="B12" s="141"/>
      <c r="C12" s="140"/>
    </row>
    <row r="13" spans="1:6" x14ac:dyDescent="0.3">
      <c r="A13" s="138"/>
      <c r="B13" s="141"/>
      <c r="C13" s="140"/>
    </row>
    <row r="14" spans="1:6" s="130" customFormat="1" ht="19.5" x14ac:dyDescent="0.35">
      <c r="A14" s="142" t="s">
        <v>371</v>
      </c>
      <c r="B14" s="143">
        <f>SUM(B3:B13)</f>
        <v>255510</v>
      </c>
      <c r="C14" s="144"/>
      <c r="D14" s="131"/>
      <c r="E14" s="131"/>
      <c r="F14" s="131"/>
    </row>
    <row r="15" spans="1:6" x14ac:dyDescent="0.3">
      <c r="A15" s="138"/>
      <c r="B15" s="141"/>
      <c r="C15" s="140"/>
    </row>
    <row r="16" spans="1:6" x14ac:dyDescent="0.3">
      <c r="A16" s="138"/>
      <c r="B16" s="141"/>
      <c r="C16" s="140"/>
    </row>
    <row r="17" spans="1:3" x14ac:dyDescent="0.3">
      <c r="A17" s="138"/>
      <c r="B17" s="141"/>
      <c r="C17" s="140"/>
    </row>
    <row r="18" spans="1:3" x14ac:dyDescent="0.3">
      <c r="A18" s="138"/>
      <c r="B18" s="141"/>
      <c r="C18" s="14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8"/>
  <sheetViews>
    <sheetView workbookViewId="0">
      <selection activeCell="B17" sqref="B17"/>
    </sheetView>
  </sheetViews>
  <sheetFormatPr defaultRowHeight="18.75" x14ac:dyDescent="0.3"/>
  <cols>
    <col min="1" max="1" width="45.5703125" style="128" bestFit="1" customWidth="1"/>
    <col min="2" max="2" width="20.5703125" style="134" bestFit="1" customWidth="1"/>
    <col min="3" max="6" width="9.140625" style="129"/>
    <col min="7" max="16384" width="9.140625" style="128"/>
  </cols>
  <sheetData>
    <row r="1" spans="1:6" s="132" customFormat="1" ht="19.5" x14ac:dyDescent="0.35">
      <c r="A1" s="135" t="s">
        <v>392</v>
      </c>
      <c r="B1" s="136"/>
      <c r="C1" s="137"/>
      <c r="D1" s="133"/>
      <c r="E1" s="133"/>
      <c r="F1" s="133"/>
    </row>
    <row r="2" spans="1:6" ht="24" x14ac:dyDescent="0.65">
      <c r="A2" s="138"/>
      <c r="B2" s="139" t="s">
        <v>113</v>
      </c>
      <c r="C2" s="140"/>
    </row>
    <row r="3" spans="1:6" x14ac:dyDescent="0.3">
      <c r="A3" s="138" t="s">
        <v>369</v>
      </c>
      <c r="B3" s="141">
        <v>69400</v>
      </c>
      <c r="C3" s="140"/>
    </row>
    <row r="4" spans="1:6" x14ac:dyDescent="0.3">
      <c r="A4" s="138"/>
      <c r="B4" s="141"/>
      <c r="C4" s="140"/>
    </row>
    <row r="5" spans="1:6" x14ac:dyDescent="0.3">
      <c r="A5" s="138" t="s">
        <v>370</v>
      </c>
      <c r="B5" s="141">
        <v>44410</v>
      </c>
      <c r="C5" s="140"/>
    </row>
    <row r="6" spans="1:6" x14ac:dyDescent="0.3">
      <c r="A6" s="138"/>
      <c r="B6" s="141"/>
      <c r="C6" s="140"/>
    </row>
    <row r="7" spans="1:6" x14ac:dyDescent="0.3">
      <c r="A7" s="138" t="s">
        <v>373</v>
      </c>
      <c r="B7" s="141">
        <v>9000</v>
      </c>
      <c r="C7" s="140"/>
    </row>
    <row r="8" spans="1:6" x14ac:dyDescent="0.3">
      <c r="A8" s="138"/>
      <c r="B8" s="141"/>
      <c r="C8" s="140"/>
    </row>
    <row r="9" spans="1:6" x14ac:dyDescent="0.3">
      <c r="A9" s="138" t="s">
        <v>372</v>
      </c>
      <c r="B9" s="141">
        <v>128500</v>
      </c>
      <c r="C9" s="140"/>
    </row>
    <row r="10" spans="1:6" x14ac:dyDescent="0.3">
      <c r="A10" s="138"/>
      <c r="B10" s="141"/>
      <c r="C10" s="140"/>
    </row>
    <row r="11" spans="1:6" ht="37.5" x14ac:dyDescent="0.3">
      <c r="A11" s="146" t="s">
        <v>375</v>
      </c>
      <c r="B11" s="141">
        <v>4200</v>
      </c>
      <c r="C11" s="140"/>
    </row>
    <row r="12" spans="1:6" x14ac:dyDescent="0.3">
      <c r="A12" s="138"/>
      <c r="B12" s="141"/>
      <c r="C12" s="140"/>
    </row>
    <row r="13" spans="1:6" x14ac:dyDescent="0.3">
      <c r="A13" s="138"/>
      <c r="B13" s="141"/>
      <c r="C13" s="140"/>
    </row>
    <row r="14" spans="1:6" s="130" customFormat="1" ht="19.5" x14ac:dyDescent="0.35">
      <c r="A14" s="142" t="s">
        <v>371</v>
      </c>
      <c r="B14" s="143">
        <f>SUM(B3:B13)</f>
        <v>255510</v>
      </c>
      <c r="C14" s="144"/>
      <c r="D14" s="131"/>
      <c r="E14" s="131"/>
      <c r="F14" s="131"/>
    </row>
    <row r="15" spans="1:6" x14ac:dyDescent="0.3">
      <c r="A15" s="138"/>
      <c r="B15" s="141"/>
      <c r="C15" s="140"/>
    </row>
    <row r="16" spans="1:6" x14ac:dyDescent="0.3">
      <c r="A16" s="138"/>
      <c r="B16" s="141"/>
      <c r="C16" s="140"/>
    </row>
    <row r="17" spans="1:3" x14ac:dyDescent="0.3">
      <c r="A17" s="138"/>
      <c r="B17" s="141"/>
      <c r="C17" s="140"/>
    </row>
    <row r="18" spans="1:3" x14ac:dyDescent="0.3">
      <c r="A18" s="138"/>
      <c r="B18" s="141"/>
      <c r="C18" s="140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8"/>
  <sheetViews>
    <sheetView workbookViewId="0">
      <selection activeCell="B20" sqref="B20"/>
    </sheetView>
  </sheetViews>
  <sheetFormatPr defaultRowHeight="18.75" x14ac:dyDescent="0.3"/>
  <cols>
    <col min="1" max="1" width="45.5703125" style="128" bestFit="1" customWidth="1"/>
    <col min="2" max="2" width="20.5703125" style="134" bestFit="1" customWidth="1"/>
    <col min="3" max="6" width="9.140625" style="129"/>
    <col min="7" max="16384" width="9.140625" style="128"/>
  </cols>
  <sheetData>
    <row r="1" spans="1:6" s="132" customFormat="1" ht="19.5" x14ac:dyDescent="0.35">
      <c r="A1" s="135" t="s">
        <v>393</v>
      </c>
      <c r="B1" s="136"/>
      <c r="C1" s="137"/>
      <c r="D1" s="133"/>
      <c r="E1" s="133"/>
      <c r="F1" s="133"/>
    </row>
    <row r="2" spans="1:6" ht="24" x14ac:dyDescent="0.65">
      <c r="A2" s="138"/>
      <c r="B2" s="139" t="s">
        <v>113</v>
      </c>
      <c r="C2" s="140"/>
    </row>
    <row r="3" spans="1:6" x14ac:dyDescent="0.3">
      <c r="A3" s="138" t="s">
        <v>369</v>
      </c>
      <c r="B3" s="141">
        <v>69400</v>
      </c>
      <c r="C3" s="140"/>
    </row>
    <row r="4" spans="1:6" x14ac:dyDescent="0.3">
      <c r="A4" s="138"/>
      <c r="B4" s="141"/>
      <c r="C4" s="140"/>
    </row>
    <row r="5" spans="1:6" x14ac:dyDescent="0.3">
      <c r="A5" s="138" t="s">
        <v>370</v>
      </c>
      <c r="B5" s="141">
        <v>44410</v>
      </c>
      <c r="C5" s="140"/>
    </row>
    <row r="6" spans="1:6" x14ac:dyDescent="0.3">
      <c r="A6" s="138"/>
      <c r="B6" s="141"/>
      <c r="C6" s="140"/>
    </row>
    <row r="7" spans="1:6" x14ac:dyDescent="0.3">
      <c r="A7" s="138" t="s">
        <v>373</v>
      </c>
      <c r="B7" s="141">
        <v>9000</v>
      </c>
      <c r="C7" s="140"/>
    </row>
    <row r="8" spans="1:6" x14ac:dyDescent="0.3">
      <c r="A8" s="138"/>
      <c r="B8" s="141"/>
      <c r="C8" s="140"/>
    </row>
    <row r="9" spans="1:6" x14ac:dyDescent="0.3">
      <c r="A9" s="138" t="s">
        <v>372</v>
      </c>
      <c r="B9" s="141">
        <v>128500</v>
      </c>
      <c r="C9" s="140"/>
    </row>
    <row r="10" spans="1:6" x14ac:dyDescent="0.3">
      <c r="A10" s="138"/>
      <c r="B10" s="141"/>
      <c r="C10" s="140"/>
    </row>
    <row r="11" spans="1:6" ht="37.5" x14ac:dyDescent="0.3">
      <c r="A11" s="146" t="s">
        <v>375</v>
      </c>
      <c r="B11" s="141">
        <v>4200</v>
      </c>
      <c r="C11" s="140"/>
    </row>
    <row r="12" spans="1:6" x14ac:dyDescent="0.3">
      <c r="A12" s="138"/>
      <c r="B12" s="141"/>
      <c r="C12" s="140"/>
    </row>
    <row r="13" spans="1:6" x14ac:dyDescent="0.3">
      <c r="A13" s="138"/>
      <c r="B13" s="141"/>
      <c r="C13" s="140"/>
    </row>
    <row r="14" spans="1:6" s="130" customFormat="1" ht="19.5" x14ac:dyDescent="0.35">
      <c r="A14" s="142" t="s">
        <v>371</v>
      </c>
      <c r="B14" s="143">
        <f>SUM(B3:B13)</f>
        <v>255510</v>
      </c>
      <c r="C14" s="144"/>
      <c r="D14" s="131"/>
      <c r="E14" s="131"/>
      <c r="F14" s="131"/>
    </row>
    <row r="15" spans="1:6" x14ac:dyDescent="0.3">
      <c r="A15" s="138"/>
      <c r="B15" s="141"/>
      <c r="C15" s="140"/>
    </row>
    <row r="16" spans="1:6" x14ac:dyDescent="0.3">
      <c r="A16" s="138"/>
      <c r="B16" s="141"/>
      <c r="C16" s="140"/>
    </row>
    <row r="17" spans="1:3" x14ac:dyDescent="0.3">
      <c r="A17" s="138"/>
      <c r="B17" s="141"/>
      <c r="C17" s="140"/>
    </row>
    <row r="18" spans="1:3" x14ac:dyDescent="0.3">
      <c r="A18" s="138"/>
      <c r="B18" s="141"/>
      <c r="C18" s="140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18"/>
  <sheetViews>
    <sheetView workbookViewId="0">
      <selection activeCell="K28" sqref="K28"/>
    </sheetView>
  </sheetViews>
  <sheetFormatPr defaultRowHeight="18.75" x14ac:dyDescent="0.3"/>
  <cols>
    <col min="1" max="1" width="45.5703125" style="128" bestFit="1" customWidth="1"/>
    <col min="2" max="2" width="20.5703125" style="134" bestFit="1" customWidth="1"/>
    <col min="3" max="6" width="9.140625" style="129"/>
    <col min="7" max="16384" width="9.140625" style="128"/>
  </cols>
  <sheetData>
    <row r="1" spans="1:6" s="132" customFormat="1" ht="19.5" x14ac:dyDescent="0.35">
      <c r="A1" s="135" t="s">
        <v>394</v>
      </c>
      <c r="B1" s="136"/>
      <c r="C1" s="137"/>
      <c r="D1" s="133"/>
      <c r="E1" s="133"/>
      <c r="F1" s="133"/>
    </row>
    <row r="2" spans="1:6" ht="24" x14ac:dyDescent="0.65">
      <c r="A2" s="138"/>
      <c r="B2" s="139" t="s">
        <v>113</v>
      </c>
      <c r="C2" s="140"/>
    </row>
    <row r="3" spans="1:6" x14ac:dyDescent="0.3">
      <c r="A3" s="138" t="s">
        <v>369</v>
      </c>
      <c r="B3" s="141">
        <v>69400</v>
      </c>
      <c r="C3" s="140"/>
    </row>
    <row r="4" spans="1:6" x14ac:dyDescent="0.3">
      <c r="A4" s="138"/>
      <c r="B4" s="141"/>
      <c r="C4" s="140"/>
    </row>
    <row r="5" spans="1:6" x14ac:dyDescent="0.3">
      <c r="A5" s="138" t="s">
        <v>370</v>
      </c>
      <c r="B5" s="141">
        <v>44410</v>
      </c>
      <c r="C5" s="140"/>
    </row>
    <row r="6" spans="1:6" x14ac:dyDescent="0.3">
      <c r="A6" s="138"/>
      <c r="B6" s="141"/>
      <c r="C6" s="140"/>
    </row>
    <row r="7" spans="1:6" x14ac:dyDescent="0.3">
      <c r="A7" s="138" t="s">
        <v>373</v>
      </c>
      <c r="B7" s="141">
        <v>9000</v>
      </c>
      <c r="C7" s="140"/>
    </row>
    <row r="8" spans="1:6" x14ac:dyDescent="0.3">
      <c r="A8" s="138"/>
      <c r="B8" s="141"/>
      <c r="C8" s="140"/>
    </row>
    <row r="9" spans="1:6" x14ac:dyDescent="0.3">
      <c r="A9" s="138" t="s">
        <v>372</v>
      </c>
      <c r="B9" s="141">
        <v>128500</v>
      </c>
      <c r="C9" s="140"/>
    </row>
    <row r="10" spans="1:6" x14ac:dyDescent="0.3">
      <c r="A10" s="138"/>
      <c r="B10" s="141"/>
      <c r="C10" s="140"/>
    </row>
    <row r="11" spans="1:6" ht="37.5" x14ac:dyDescent="0.3">
      <c r="A11" s="146" t="s">
        <v>375</v>
      </c>
      <c r="B11" s="141">
        <v>4200</v>
      </c>
      <c r="C11" s="140"/>
    </row>
    <row r="12" spans="1:6" x14ac:dyDescent="0.3">
      <c r="A12" s="138"/>
      <c r="B12" s="141"/>
      <c r="C12" s="140"/>
    </row>
    <row r="13" spans="1:6" x14ac:dyDescent="0.3">
      <c r="A13" s="138"/>
      <c r="B13" s="141"/>
      <c r="C13" s="140"/>
    </row>
    <row r="14" spans="1:6" s="130" customFormat="1" ht="19.5" x14ac:dyDescent="0.35">
      <c r="A14" s="142" t="s">
        <v>371</v>
      </c>
      <c r="B14" s="143">
        <f>SUM(B3:B13)</f>
        <v>255510</v>
      </c>
      <c r="C14" s="144"/>
      <c r="D14" s="131"/>
      <c r="E14" s="131"/>
      <c r="F14" s="131"/>
    </row>
    <row r="15" spans="1:6" x14ac:dyDescent="0.3">
      <c r="A15" s="138"/>
      <c r="B15" s="141"/>
      <c r="C15" s="140"/>
    </row>
    <row r="16" spans="1:6" x14ac:dyDescent="0.3">
      <c r="A16" s="138"/>
      <c r="B16" s="141"/>
      <c r="C16" s="140"/>
    </row>
    <row r="17" spans="1:3" x14ac:dyDescent="0.3">
      <c r="A17" s="138"/>
      <c r="B17" s="141"/>
      <c r="C17" s="140"/>
    </row>
    <row r="18" spans="1:3" x14ac:dyDescent="0.3">
      <c r="A18" s="138"/>
      <c r="B18" s="141"/>
      <c r="C18" s="1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34"/>
  <sheetViews>
    <sheetView showGridLines="0" workbookViewId="0">
      <pane xSplit="1" ySplit="3" topLeftCell="B151" activePane="bottomRight" state="frozen"/>
      <selection pane="topRight" activeCell="B1" sqref="B1"/>
      <selection pane="bottomLeft" activeCell="A4" sqref="A4"/>
      <selection pane="bottomRight" activeCell="A176" sqref="A176:A178"/>
    </sheetView>
  </sheetViews>
  <sheetFormatPr defaultRowHeight="15" outlineLevelRow="1" x14ac:dyDescent="0.25"/>
  <cols>
    <col min="1" max="1" width="52" bestFit="1" customWidth="1"/>
    <col min="2" max="2" width="11.42578125" bestFit="1" customWidth="1"/>
    <col min="3" max="3" width="14" bestFit="1" customWidth="1"/>
    <col min="4" max="4" width="8.5703125" bestFit="1" customWidth="1"/>
    <col min="6" max="6" width="11.42578125" bestFit="1" customWidth="1"/>
    <col min="7" max="7" width="4" bestFit="1" customWidth="1"/>
    <col min="9" max="9" width="10.140625" customWidth="1"/>
    <col min="11" max="11" width="22.7109375" bestFit="1" customWidth="1"/>
    <col min="12" max="12" width="10.85546875" customWidth="1"/>
    <col min="13" max="13" width="14" bestFit="1" customWidth="1"/>
    <col min="14" max="14" width="19" bestFit="1" customWidth="1"/>
    <col min="15" max="15" width="20.42578125" bestFit="1" customWidth="1"/>
  </cols>
  <sheetData>
    <row r="1" spans="1:16" hidden="1" x14ac:dyDescent="0.25">
      <c r="J1" s="48"/>
      <c r="K1" s="48"/>
      <c r="L1" s="48"/>
      <c r="M1" s="48"/>
      <c r="N1" s="48"/>
      <c r="O1" s="48"/>
    </row>
    <row r="2" spans="1:16" hidden="1" x14ac:dyDescent="0.25">
      <c r="J2" s="48"/>
      <c r="K2" s="48"/>
      <c r="L2" s="48"/>
      <c r="M2" s="48"/>
      <c r="N2" s="48"/>
      <c r="O2" s="48"/>
    </row>
    <row r="3" spans="1:16" s="1" customFormat="1" hidden="1" x14ac:dyDescent="0.25">
      <c r="J3" s="49"/>
      <c r="K3" s="49"/>
      <c r="L3" s="49"/>
      <c r="M3" s="49"/>
      <c r="N3" s="49"/>
      <c r="O3" s="49"/>
    </row>
    <row r="4" spans="1:16" s="1" customFormat="1" hidden="1" x14ac:dyDescent="0.25">
      <c r="A4" s="46" t="s">
        <v>139</v>
      </c>
      <c r="B4" s="47">
        <v>4.2857142857142856</v>
      </c>
      <c r="C4" s="49"/>
      <c r="D4" s="49"/>
      <c r="J4" s="49"/>
      <c r="O4" s="49"/>
    </row>
    <row r="5" spans="1:16" hidden="1" x14ac:dyDescent="0.25">
      <c r="A5" s="48"/>
      <c r="B5" s="48"/>
      <c r="C5" s="48"/>
      <c r="D5" s="48"/>
      <c r="J5" s="49"/>
      <c r="O5" s="48"/>
      <c r="P5" s="48"/>
    </row>
    <row r="6" spans="1:16" ht="15.75" hidden="1" x14ac:dyDescent="0.25">
      <c r="A6" s="30" t="s">
        <v>118</v>
      </c>
      <c r="B6" s="150" t="s">
        <v>159</v>
      </c>
      <c r="C6" s="150"/>
      <c r="D6" s="150"/>
      <c r="J6" s="49"/>
      <c r="O6" s="48"/>
    </row>
    <row r="7" spans="1:16" ht="60.75" hidden="1" thickBot="1" x14ac:dyDescent="0.3">
      <c r="A7" s="30" t="s">
        <v>144</v>
      </c>
      <c r="B7" s="50" t="s">
        <v>140</v>
      </c>
      <c r="C7" s="50" t="s">
        <v>141</v>
      </c>
      <c r="D7" s="51" t="s">
        <v>142</v>
      </c>
      <c r="F7" s="94" t="s">
        <v>172</v>
      </c>
      <c r="H7" s="96" t="s">
        <v>173</v>
      </c>
      <c r="I7" s="97" t="s">
        <v>174</v>
      </c>
      <c r="J7" s="49"/>
      <c r="O7" s="48"/>
    </row>
    <row r="8" spans="1:16" hidden="1" x14ac:dyDescent="0.25">
      <c r="A8" s="31" t="s">
        <v>119</v>
      </c>
      <c r="B8" s="38"/>
      <c r="C8" s="48"/>
      <c r="D8" s="48"/>
      <c r="J8" s="49"/>
      <c r="O8" s="48"/>
    </row>
    <row r="9" spans="1:16" hidden="1" x14ac:dyDescent="0.25">
      <c r="A9" s="32" t="s">
        <v>120</v>
      </c>
      <c r="B9" s="39">
        <f>327.932*B4</f>
        <v>1405.4228571428571</v>
      </c>
      <c r="C9" s="39">
        <f>C10</f>
        <v>1077.7557474285713</v>
      </c>
      <c r="D9" s="39">
        <f>C9-B9</f>
        <v>-327.66710971428574</v>
      </c>
      <c r="H9" s="95">
        <f>C9-F9</f>
        <v>1077.7557474285713</v>
      </c>
      <c r="I9" s="95">
        <f>H9-B9</f>
        <v>-327.66710971428574</v>
      </c>
      <c r="J9" s="98" t="s">
        <v>180</v>
      </c>
      <c r="O9" s="48"/>
    </row>
    <row r="10" spans="1:16" hidden="1" x14ac:dyDescent="0.25">
      <c r="A10" s="79" t="s">
        <v>2</v>
      </c>
      <c r="B10" s="80"/>
      <c r="C10" s="80">
        <f>C112+D112+F112</f>
        <v>1077.7557474285713</v>
      </c>
      <c r="D10" s="80"/>
      <c r="J10" s="98"/>
      <c r="O10" s="48"/>
    </row>
    <row r="11" spans="1:16" hidden="1" x14ac:dyDescent="0.25">
      <c r="A11" s="33"/>
      <c r="B11" s="40"/>
      <c r="C11" s="40"/>
      <c r="D11" s="40"/>
      <c r="J11" s="98"/>
      <c r="O11" s="48"/>
    </row>
    <row r="12" spans="1:16" hidden="1" x14ac:dyDescent="0.25">
      <c r="A12" s="33" t="s">
        <v>121</v>
      </c>
      <c r="B12" s="40">
        <f>-57*B4</f>
        <v>-244.28571428571428</v>
      </c>
      <c r="C12" s="40">
        <f>SUM(C13:C15)</f>
        <v>-75</v>
      </c>
      <c r="D12" s="40">
        <f>C12-B12</f>
        <v>169.28571428571428</v>
      </c>
      <c r="F12" s="92">
        <f>-B129</f>
        <v>-75</v>
      </c>
      <c r="H12" s="95">
        <f>C12-F12</f>
        <v>0</v>
      </c>
      <c r="I12" s="95">
        <f>H12-B12</f>
        <v>244.28571428571428</v>
      </c>
      <c r="J12" s="98" t="s">
        <v>176</v>
      </c>
      <c r="O12" s="48"/>
    </row>
    <row r="13" spans="1:16" outlineLevel="1" x14ac:dyDescent="0.25">
      <c r="A13" s="81" t="s">
        <v>8</v>
      </c>
      <c r="B13" s="40"/>
      <c r="C13" s="82">
        <f>-F128</f>
        <v>0</v>
      </c>
      <c r="D13" s="40"/>
      <c r="J13" s="98"/>
      <c r="O13" s="48"/>
    </row>
    <row r="14" spans="1:16" outlineLevel="1" x14ac:dyDescent="0.25">
      <c r="A14" s="81" t="s">
        <v>22</v>
      </c>
      <c r="B14" s="40"/>
      <c r="C14" s="82">
        <f>-B129</f>
        <v>-75</v>
      </c>
      <c r="D14" s="40"/>
      <c r="J14" s="98"/>
      <c r="O14" s="48"/>
    </row>
    <row r="15" spans="1:16" outlineLevel="1" x14ac:dyDescent="0.25">
      <c r="A15" s="81" t="s">
        <v>79</v>
      </c>
      <c r="B15" s="40"/>
      <c r="C15" s="82"/>
      <c r="D15" s="40"/>
      <c r="J15" s="98"/>
      <c r="O15" s="48"/>
    </row>
    <row r="16" spans="1:16" hidden="1" x14ac:dyDescent="0.25">
      <c r="A16" s="33"/>
      <c r="B16" s="40"/>
      <c r="C16" s="40"/>
      <c r="D16" s="40"/>
      <c r="J16" s="98"/>
      <c r="O16" s="48"/>
    </row>
    <row r="17" spans="1:15" hidden="1" x14ac:dyDescent="0.25">
      <c r="A17" s="33" t="s">
        <v>122</v>
      </c>
      <c r="B17" s="40">
        <f>-0.65482725*B4</f>
        <v>-2.8064024999999999</v>
      </c>
      <c r="C17" s="40"/>
      <c r="D17" s="40">
        <f>C17-B17</f>
        <v>2.8064024999999999</v>
      </c>
      <c r="H17" s="95">
        <f>C17-F17</f>
        <v>0</v>
      </c>
      <c r="I17" s="95">
        <f>H17-B17</f>
        <v>2.8064024999999999</v>
      </c>
      <c r="J17" s="98"/>
      <c r="O17" s="48"/>
    </row>
    <row r="18" spans="1:15" hidden="1" x14ac:dyDescent="0.25">
      <c r="A18" s="33" t="s">
        <v>123</v>
      </c>
      <c r="B18" s="40">
        <f>-142.887633333333*B4</f>
        <v>-612.37557142857008</v>
      </c>
      <c r="C18" s="40">
        <f>SUM(C19:C23)</f>
        <v>-628.15609999999992</v>
      </c>
      <c r="D18" s="40">
        <f>C18-B18</f>
        <v>-15.780528571429841</v>
      </c>
      <c r="F18" s="92">
        <f>-B130</f>
        <v>-45</v>
      </c>
      <c r="H18" s="95">
        <f>C18-F18</f>
        <v>-583.15609999999992</v>
      </c>
      <c r="I18" s="95">
        <f>H18-B18</f>
        <v>29.219471428570159</v>
      </c>
      <c r="J18" s="98"/>
      <c r="O18" s="48"/>
    </row>
    <row r="19" spans="1:15" outlineLevel="1" x14ac:dyDescent="0.25">
      <c r="A19" s="81" t="s">
        <v>103</v>
      </c>
      <c r="B19" s="40"/>
      <c r="C19" s="82">
        <f>-(B130+C130+F130)</f>
        <v>-358</v>
      </c>
      <c r="D19" s="40"/>
      <c r="J19" s="98"/>
      <c r="O19" s="48"/>
    </row>
    <row r="20" spans="1:15" outlineLevel="1" x14ac:dyDescent="0.25">
      <c r="A20" s="81" t="s">
        <v>147</v>
      </c>
      <c r="B20" s="40"/>
      <c r="C20" s="82">
        <f>-F155</f>
        <v>-2.8321000000000001</v>
      </c>
      <c r="D20" s="40"/>
      <c r="J20" s="98"/>
      <c r="O20" s="48"/>
    </row>
    <row r="21" spans="1:15" outlineLevel="1" x14ac:dyDescent="0.25">
      <c r="A21" s="81" t="s">
        <v>146</v>
      </c>
      <c r="B21" s="40"/>
      <c r="C21" s="82">
        <f>-E145-E132-E133</f>
        <v>-263.32399999999996</v>
      </c>
      <c r="D21" s="40"/>
      <c r="J21" s="98"/>
      <c r="O21" s="48"/>
    </row>
    <row r="22" spans="1:15" outlineLevel="1" x14ac:dyDescent="0.25">
      <c r="A22" s="81" t="s">
        <v>109</v>
      </c>
      <c r="B22" s="40"/>
      <c r="C22" s="82"/>
      <c r="D22" s="40"/>
      <c r="J22" s="98"/>
      <c r="O22" s="48"/>
    </row>
    <row r="23" spans="1:15" outlineLevel="1" x14ac:dyDescent="0.25">
      <c r="A23" s="81" t="s">
        <v>98</v>
      </c>
      <c r="B23" s="40"/>
      <c r="C23" s="82">
        <f>-C156</f>
        <v>-4</v>
      </c>
      <c r="D23" s="40"/>
      <c r="J23" s="98"/>
      <c r="O23" s="48"/>
    </row>
    <row r="24" spans="1:15" hidden="1" x14ac:dyDescent="0.25">
      <c r="A24" s="52" t="s">
        <v>143</v>
      </c>
      <c r="B24" s="53">
        <f>-151.15*B4</f>
        <v>-647.78571428571433</v>
      </c>
      <c r="C24" s="53">
        <f>SUM(C25:C27)</f>
        <v>-163.29831999999999</v>
      </c>
      <c r="D24" s="53">
        <f>C24-B24</f>
        <v>484.48739428571434</v>
      </c>
      <c r="F24" s="92">
        <f>SUM(F25:F27)</f>
        <v>-35.234999999999999</v>
      </c>
      <c r="H24" s="95">
        <f>C24-F24</f>
        <v>-128.06331999999998</v>
      </c>
      <c r="I24" s="95">
        <f>H24-B24</f>
        <v>519.72239428571436</v>
      </c>
      <c r="J24" s="98" t="s">
        <v>175</v>
      </c>
      <c r="O24" s="48"/>
    </row>
    <row r="25" spans="1:15" outlineLevel="1" x14ac:dyDescent="0.25">
      <c r="A25" s="81" t="s">
        <v>149</v>
      </c>
      <c r="B25" s="53"/>
      <c r="C25" s="82">
        <f>-(B150+C150)</f>
        <v>-15.820540000000001</v>
      </c>
      <c r="D25" s="53"/>
      <c r="F25" s="92"/>
      <c r="J25" s="98"/>
      <c r="O25" s="48"/>
    </row>
    <row r="26" spans="1:15" outlineLevel="1" x14ac:dyDescent="0.25">
      <c r="A26" s="81" t="s">
        <v>167</v>
      </c>
      <c r="B26" s="53"/>
      <c r="C26" s="82">
        <f>-F167</f>
        <v>-94.914000000000001</v>
      </c>
      <c r="D26" s="53"/>
      <c r="J26" s="98"/>
      <c r="O26" s="48"/>
    </row>
    <row r="27" spans="1:15" outlineLevel="1" x14ac:dyDescent="0.25">
      <c r="A27" s="81" t="s">
        <v>71</v>
      </c>
      <c r="B27" s="53"/>
      <c r="C27" s="82">
        <f>-(B165+C165)</f>
        <v>-52.563779999999994</v>
      </c>
      <c r="D27" s="53"/>
      <c r="F27" s="92">
        <f>-B165</f>
        <v>-35.234999999999999</v>
      </c>
      <c r="J27" s="98"/>
      <c r="O27" s="48"/>
    </row>
    <row r="28" spans="1:15" hidden="1" x14ac:dyDescent="0.25">
      <c r="A28" s="33" t="s">
        <v>124</v>
      </c>
      <c r="B28" s="40">
        <f>-368.777804361886*B4-B24</f>
        <v>-932.69059012236846</v>
      </c>
      <c r="C28" s="83">
        <f>SUM(C29:C63)</f>
        <v>-798.64404999999988</v>
      </c>
      <c r="D28" s="40">
        <f>C28-B28</f>
        <v>134.04654012236858</v>
      </c>
      <c r="F28" s="92">
        <f>SUM(F29:F63)</f>
        <v>-7.84</v>
      </c>
      <c r="H28" s="95">
        <f>C28-F28</f>
        <v>-790.80404999999985</v>
      </c>
      <c r="I28" s="95">
        <f>H28-B28</f>
        <v>141.88654012236861</v>
      </c>
      <c r="J28" s="98"/>
      <c r="O28" s="48"/>
    </row>
    <row r="29" spans="1:15" outlineLevel="1" x14ac:dyDescent="0.25">
      <c r="A29" s="81" t="s">
        <v>29</v>
      </c>
      <c r="B29" s="40"/>
      <c r="C29" s="83">
        <f>-D134</f>
        <v>-83.166719999999998</v>
      </c>
      <c r="D29" s="40"/>
      <c r="J29" s="98"/>
      <c r="O29" s="48"/>
    </row>
    <row r="30" spans="1:15" outlineLevel="1" x14ac:dyDescent="0.25">
      <c r="A30" s="81" t="s">
        <v>9</v>
      </c>
      <c r="B30" s="40"/>
      <c r="C30" s="83">
        <f>-D137-F137</f>
        <v>-36.431400000000004</v>
      </c>
      <c r="D30" s="40"/>
      <c r="J30" s="98"/>
      <c r="O30" s="48"/>
    </row>
    <row r="31" spans="1:15" outlineLevel="1" x14ac:dyDescent="0.25">
      <c r="A31" s="81" t="s">
        <v>111</v>
      </c>
      <c r="B31" s="40"/>
      <c r="C31" s="83">
        <f>-(D139+E139)</f>
        <v>-20.63109</v>
      </c>
      <c r="D31" s="40"/>
      <c r="J31" s="98"/>
      <c r="O31" s="48"/>
    </row>
    <row r="32" spans="1:15" outlineLevel="1" x14ac:dyDescent="0.25">
      <c r="A32" s="81" t="s">
        <v>45</v>
      </c>
      <c r="B32" s="40"/>
      <c r="C32" s="83"/>
      <c r="D32" s="40"/>
      <c r="J32" s="98"/>
      <c r="O32" s="48"/>
    </row>
    <row r="33" spans="1:15" outlineLevel="1" x14ac:dyDescent="0.25">
      <c r="A33" s="81" t="s">
        <v>52</v>
      </c>
      <c r="B33" s="40"/>
      <c r="C33" s="83">
        <f>-(B142+F142)</f>
        <v>-10.305</v>
      </c>
      <c r="D33" s="40"/>
      <c r="F33" s="92">
        <f>-B142</f>
        <v>-5.0830000000000002</v>
      </c>
      <c r="J33" s="98"/>
      <c r="O33" s="48"/>
    </row>
    <row r="34" spans="1:15" outlineLevel="1" x14ac:dyDescent="0.25">
      <c r="A34" s="81" t="s">
        <v>183</v>
      </c>
      <c r="B34" s="40"/>
      <c r="C34" s="83">
        <f>-F226</f>
        <v>-8.9081100000000006</v>
      </c>
      <c r="D34" s="40"/>
      <c r="F34" s="92"/>
      <c r="J34" s="98"/>
      <c r="O34" s="48"/>
    </row>
    <row r="35" spans="1:15" outlineLevel="1" x14ac:dyDescent="0.25">
      <c r="A35" s="81" t="s">
        <v>56</v>
      </c>
      <c r="B35" s="40"/>
      <c r="C35" s="83"/>
      <c r="D35" s="40"/>
      <c r="J35" s="98"/>
      <c r="O35" s="48"/>
    </row>
    <row r="36" spans="1:15" outlineLevel="1" x14ac:dyDescent="0.25">
      <c r="A36" s="81" t="s">
        <v>12</v>
      </c>
      <c r="B36" s="40"/>
      <c r="C36" s="83">
        <f>-(B143+D143+F143)</f>
        <v>-9.7543799999999994</v>
      </c>
      <c r="D36" s="40"/>
      <c r="F36" s="92">
        <f>-B143</f>
        <v>-2.7570000000000001</v>
      </c>
      <c r="J36" s="98"/>
      <c r="O36" s="48"/>
    </row>
    <row r="37" spans="1:15" outlineLevel="1" x14ac:dyDescent="0.25">
      <c r="A37" s="81" t="s">
        <v>68</v>
      </c>
      <c r="B37" s="40"/>
      <c r="C37" s="83"/>
      <c r="D37" s="40"/>
      <c r="J37" s="98"/>
      <c r="O37" s="48"/>
    </row>
    <row r="38" spans="1:15" outlineLevel="1" x14ac:dyDescent="0.25">
      <c r="A38" s="81" t="s">
        <v>42</v>
      </c>
      <c r="B38" s="40"/>
      <c r="C38" s="83">
        <f>-C157</f>
        <v>-5.3870899999999997</v>
      </c>
      <c r="D38" s="40"/>
      <c r="J38" s="98"/>
      <c r="O38" s="48"/>
    </row>
    <row r="39" spans="1:15" outlineLevel="1" x14ac:dyDescent="0.25">
      <c r="A39" s="81" t="s">
        <v>76</v>
      </c>
      <c r="B39" s="40"/>
      <c r="C39" s="83">
        <f>-C158-F158</f>
        <v>-0.97365999999999997</v>
      </c>
      <c r="D39" s="40"/>
      <c r="J39" s="98"/>
      <c r="O39" s="48"/>
    </row>
    <row r="40" spans="1:15" outlineLevel="1" x14ac:dyDescent="0.25">
      <c r="A40" s="81" t="s">
        <v>30</v>
      </c>
      <c r="B40" s="40"/>
      <c r="C40" s="83">
        <f>-D159</f>
        <v>-122.4627</v>
      </c>
      <c r="D40" s="40"/>
      <c r="J40" s="98"/>
      <c r="O40" s="48"/>
    </row>
    <row r="41" spans="1:15" outlineLevel="1" x14ac:dyDescent="0.25">
      <c r="A41" s="81" t="s">
        <v>15</v>
      </c>
      <c r="B41" s="40"/>
      <c r="C41" s="83">
        <f>-D160</f>
        <v>-149.94901999999999</v>
      </c>
      <c r="D41" s="40"/>
      <c r="J41" s="98"/>
      <c r="O41" s="48"/>
    </row>
    <row r="42" spans="1:15" outlineLevel="1" x14ac:dyDescent="0.25">
      <c r="A42" s="81" t="s">
        <v>165</v>
      </c>
      <c r="B42" s="40"/>
      <c r="C42" s="83">
        <v>-6</v>
      </c>
      <c r="D42" s="40"/>
      <c r="J42" s="98"/>
      <c r="O42" s="48"/>
    </row>
    <row r="43" spans="1:15" outlineLevel="1" x14ac:dyDescent="0.25">
      <c r="A43" s="81" t="s">
        <v>168</v>
      </c>
      <c r="B43" s="40"/>
      <c r="C43" s="83">
        <f>-C161</f>
        <v>-2.27</v>
      </c>
      <c r="D43" s="40"/>
      <c r="J43" s="98"/>
      <c r="O43" s="48"/>
    </row>
    <row r="44" spans="1:15" outlineLevel="1" x14ac:dyDescent="0.25">
      <c r="A44" s="81" t="s">
        <v>24</v>
      </c>
      <c r="B44" s="40"/>
      <c r="C44" s="83">
        <f>-F146</f>
        <v>-29.654235</v>
      </c>
      <c r="D44" s="40"/>
      <c r="J44" s="98"/>
      <c r="O44" s="48"/>
    </row>
    <row r="45" spans="1:15" outlineLevel="1" x14ac:dyDescent="0.25">
      <c r="A45" s="81" t="s">
        <v>23</v>
      </c>
      <c r="B45" s="40"/>
      <c r="C45" s="83">
        <f>-(B168+D168)</f>
        <v>-45.502994999999999</v>
      </c>
      <c r="D45" s="40"/>
      <c r="J45" s="98"/>
      <c r="O45" s="48"/>
    </row>
    <row r="46" spans="1:15" outlineLevel="1" x14ac:dyDescent="0.25">
      <c r="A46" s="81" t="s">
        <v>35</v>
      </c>
      <c r="B46" s="40"/>
      <c r="C46" s="83">
        <f>-C170</f>
        <v>-1.5014000000000001</v>
      </c>
      <c r="D46" s="40"/>
      <c r="J46" s="98"/>
      <c r="O46" s="48"/>
    </row>
    <row r="47" spans="1:15" outlineLevel="1" x14ac:dyDescent="0.25">
      <c r="A47" s="81" t="s">
        <v>40</v>
      </c>
      <c r="B47" s="40"/>
      <c r="C47" s="83">
        <f>-F174</f>
        <v>-39.200000000000003</v>
      </c>
      <c r="D47" s="40"/>
      <c r="J47" s="98"/>
      <c r="O47" s="48"/>
    </row>
    <row r="48" spans="1:15" outlineLevel="1" x14ac:dyDescent="0.25">
      <c r="A48" s="81" t="s">
        <v>91</v>
      </c>
      <c r="B48" s="40"/>
      <c r="C48" s="83">
        <f>-C171</f>
        <v>-1.5</v>
      </c>
      <c r="D48" s="40"/>
      <c r="J48" s="98"/>
      <c r="O48" s="48"/>
    </row>
    <row r="49" spans="1:15" outlineLevel="1" x14ac:dyDescent="0.25">
      <c r="A49" s="81" t="s">
        <v>100</v>
      </c>
      <c r="B49" s="40"/>
      <c r="C49" s="83">
        <f>-C169</f>
        <v>-1.125</v>
      </c>
      <c r="D49" s="40"/>
      <c r="J49" s="98"/>
      <c r="O49" s="48"/>
    </row>
    <row r="50" spans="1:15" outlineLevel="1" x14ac:dyDescent="0.25">
      <c r="A50" s="81" t="s">
        <v>13</v>
      </c>
      <c r="B50" s="40"/>
      <c r="C50" s="83">
        <f>-D162</f>
        <v>-7</v>
      </c>
      <c r="D50" s="40"/>
      <c r="J50" s="98"/>
      <c r="O50" s="48"/>
    </row>
    <row r="51" spans="1:15" outlineLevel="1" x14ac:dyDescent="0.25">
      <c r="A51" s="81" t="s">
        <v>41</v>
      </c>
      <c r="B51" s="40"/>
      <c r="C51" s="83">
        <f>-F163</f>
        <v>0</v>
      </c>
      <c r="D51" s="40"/>
      <c r="J51" s="98"/>
      <c r="O51" s="48"/>
    </row>
    <row r="52" spans="1:15" outlineLevel="1" x14ac:dyDescent="0.25">
      <c r="A52" s="81" t="s">
        <v>36</v>
      </c>
      <c r="B52" s="40"/>
      <c r="C52" s="83">
        <f>-B164</f>
        <v>-2.1868500000000002</v>
      </c>
      <c r="D52" s="40"/>
      <c r="F52" s="92"/>
      <c r="J52" s="98"/>
      <c r="O52" s="48"/>
    </row>
    <row r="53" spans="1:15" outlineLevel="1" x14ac:dyDescent="0.25">
      <c r="A53" s="81" t="s">
        <v>62</v>
      </c>
      <c r="B53" s="40"/>
      <c r="C53" s="83">
        <f>-B141</f>
        <v>-0.23</v>
      </c>
      <c r="D53" s="40"/>
      <c r="J53" s="98"/>
      <c r="O53" s="48"/>
    </row>
    <row r="54" spans="1:15" outlineLevel="1" x14ac:dyDescent="0.25">
      <c r="A54" s="81" t="s">
        <v>54</v>
      </c>
      <c r="B54" s="40"/>
      <c r="C54" s="83">
        <f>-D166</f>
        <v>-2.1120000000000001</v>
      </c>
      <c r="D54" s="40"/>
      <c r="J54" s="98"/>
      <c r="O54" s="48"/>
    </row>
    <row r="55" spans="1:15" outlineLevel="1" x14ac:dyDescent="0.25">
      <c r="A55" s="81" t="s">
        <v>166</v>
      </c>
      <c r="B55" s="40"/>
      <c r="C55" s="83">
        <f>-C173</f>
        <v>-1.8397399999999999</v>
      </c>
      <c r="D55" s="40"/>
      <c r="J55" s="98"/>
      <c r="O55" s="48"/>
    </row>
    <row r="56" spans="1:15" outlineLevel="1" x14ac:dyDescent="0.25">
      <c r="A56" s="81" t="s">
        <v>48</v>
      </c>
      <c r="B56" s="40"/>
      <c r="C56" s="83">
        <f>-F175</f>
        <v>-9.4682300000000001</v>
      </c>
      <c r="D56" s="40"/>
      <c r="J56" s="98"/>
      <c r="O56" s="48"/>
    </row>
    <row r="57" spans="1:15" outlineLevel="1" x14ac:dyDescent="0.25">
      <c r="A57" s="81" t="s">
        <v>73</v>
      </c>
      <c r="B57" s="40"/>
      <c r="C57" s="83">
        <f>-F140</f>
        <v>0</v>
      </c>
      <c r="D57" s="40"/>
      <c r="J57" s="98"/>
      <c r="O57" s="48"/>
    </row>
    <row r="58" spans="1:15" outlineLevel="1" x14ac:dyDescent="0.25">
      <c r="A58" s="81" t="s">
        <v>66</v>
      </c>
      <c r="B58" s="40"/>
      <c r="C58" s="83">
        <f>-D172</f>
        <v>-1.325</v>
      </c>
      <c r="D58" s="40"/>
      <c r="J58" s="98"/>
      <c r="O58" s="48"/>
    </row>
    <row r="59" spans="1:15" outlineLevel="1" x14ac:dyDescent="0.25">
      <c r="A59" s="81" t="s">
        <v>80</v>
      </c>
      <c r="B59" s="40"/>
      <c r="C59" s="83">
        <f>-F136</f>
        <v>-10.71143</v>
      </c>
      <c r="D59" s="40"/>
      <c r="J59" s="98"/>
      <c r="O59" s="48"/>
    </row>
    <row r="60" spans="1:15" outlineLevel="1" x14ac:dyDescent="0.25">
      <c r="A60" s="81" t="s">
        <v>171</v>
      </c>
      <c r="B60" s="40"/>
      <c r="C60" s="83">
        <f>-F178</f>
        <v>-10.453999999999999</v>
      </c>
      <c r="D60" s="40"/>
      <c r="J60" s="98"/>
      <c r="O60" s="48"/>
    </row>
    <row r="61" spans="1:15" outlineLevel="1" x14ac:dyDescent="0.25">
      <c r="A61" s="81" t="s">
        <v>28</v>
      </c>
      <c r="B61" s="40"/>
      <c r="C61" s="83">
        <f>-C152</f>
        <v>-15.47</v>
      </c>
      <c r="D61" s="40"/>
      <c r="J61" s="98"/>
      <c r="O61" s="48"/>
    </row>
    <row r="62" spans="1:15" outlineLevel="1" x14ac:dyDescent="0.25">
      <c r="A62" s="81" t="s">
        <v>182</v>
      </c>
      <c r="B62" s="40"/>
      <c r="C62" s="83">
        <f>-B131</f>
        <v>-162</v>
      </c>
      <c r="D62" s="40"/>
      <c r="J62" s="98"/>
      <c r="O62" s="48"/>
    </row>
    <row r="63" spans="1:15" outlineLevel="1" x14ac:dyDescent="0.25">
      <c r="A63" s="84" t="s">
        <v>150</v>
      </c>
      <c r="B63" s="41"/>
      <c r="C63" s="62">
        <f>-(C154+D154)</f>
        <v>-1.1239999999999999</v>
      </c>
      <c r="D63" s="41"/>
      <c r="J63" s="98"/>
      <c r="O63" s="48"/>
    </row>
    <row r="64" spans="1:15" hidden="1" x14ac:dyDescent="0.25">
      <c r="A64" s="34"/>
      <c r="B64" s="40"/>
      <c r="C64" s="40"/>
      <c r="D64" s="40"/>
      <c r="J64" s="98"/>
      <c r="O64" s="48"/>
    </row>
    <row r="65" spans="1:15" hidden="1" x14ac:dyDescent="0.25">
      <c r="A65" s="35" t="s">
        <v>134</v>
      </c>
      <c r="B65" s="42">
        <f>B9+B12+B17+B18+B24+B28</f>
        <v>-1034.5211354795101</v>
      </c>
      <c r="C65" s="42">
        <f>C9+C12+C17+C18+C24+C28</f>
        <v>-587.34272257142845</v>
      </c>
      <c r="D65" s="42">
        <f>D9+D12+D17+D18+D24+D28</f>
        <v>447.17841290808161</v>
      </c>
      <c r="H65" s="95">
        <f>SUM(H28,H24,H18,H12,H9)</f>
        <v>-424.26772257142829</v>
      </c>
      <c r="I65" s="95">
        <f>SUM(I28,I24,I18,I17,I12,I9)</f>
        <v>610.2534129080816</v>
      </c>
      <c r="J65" s="98"/>
      <c r="O65" s="48"/>
    </row>
    <row r="66" spans="1:15" s="1" customFormat="1" hidden="1" x14ac:dyDescent="0.25">
      <c r="A66" s="34"/>
      <c r="B66" s="40"/>
      <c r="C66" s="40"/>
      <c r="D66" s="40"/>
      <c r="J66" s="98"/>
      <c r="O66" s="49"/>
    </row>
    <row r="67" spans="1:15" s="1" customFormat="1" hidden="1" x14ac:dyDescent="0.25">
      <c r="A67" s="31" t="s">
        <v>125</v>
      </c>
      <c r="B67" s="43">
        <f>-42.483*B4</f>
        <v>-182.07</v>
      </c>
      <c r="C67" s="43">
        <f>SUM(C68:C70)</f>
        <v>-16.80622</v>
      </c>
      <c r="D67" s="43">
        <f>C67-B67</f>
        <v>165.26378</v>
      </c>
      <c r="H67" s="93">
        <f>C67-F67</f>
        <v>-16.80622</v>
      </c>
      <c r="I67" s="93">
        <f>H67-B67</f>
        <v>165.26378</v>
      </c>
      <c r="J67" s="98" t="s">
        <v>179</v>
      </c>
      <c r="O67" s="49"/>
    </row>
    <row r="68" spans="1:15" s="1" customFormat="1" outlineLevel="1" x14ac:dyDescent="0.25">
      <c r="A68" s="81" t="s">
        <v>53</v>
      </c>
      <c r="B68" s="40"/>
      <c r="C68" s="40"/>
      <c r="D68" s="40"/>
      <c r="J68" s="98"/>
      <c r="O68" s="49"/>
    </row>
    <row r="69" spans="1:15" s="1" customFormat="1" outlineLevel="1" x14ac:dyDescent="0.25">
      <c r="A69" s="81" t="s">
        <v>148</v>
      </c>
      <c r="B69" s="40"/>
      <c r="C69" s="40">
        <f>-(C149+F149)</f>
        <v>-16.80622</v>
      </c>
      <c r="D69" s="40"/>
      <c r="J69" s="98"/>
      <c r="O69" s="49"/>
    </row>
    <row r="70" spans="1:15" s="1" customFormat="1" outlineLevel="1" x14ac:dyDescent="0.25">
      <c r="A70" s="81" t="s">
        <v>151</v>
      </c>
      <c r="B70" s="40"/>
      <c r="C70" s="40"/>
      <c r="D70" s="40"/>
      <c r="J70" s="98"/>
      <c r="O70" s="49"/>
    </row>
    <row r="71" spans="1:15" hidden="1" x14ac:dyDescent="0.25">
      <c r="A71" s="33" t="s">
        <v>126</v>
      </c>
      <c r="B71" s="40">
        <f>9.75*B4</f>
        <v>41.785714285714285</v>
      </c>
      <c r="C71" s="40">
        <f>SUM(C72:C75)</f>
        <v>-55</v>
      </c>
      <c r="D71" s="40">
        <f>C71-B71</f>
        <v>-96.785714285714278</v>
      </c>
      <c r="F71">
        <v>-15</v>
      </c>
      <c r="H71" s="95">
        <f>C71-F71</f>
        <v>-40</v>
      </c>
      <c r="I71" s="95">
        <f>H71-B71</f>
        <v>-81.785714285714278</v>
      </c>
      <c r="J71" s="98" t="s">
        <v>178</v>
      </c>
      <c r="O71" s="48"/>
    </row>
    <row r="72" spans="1:15" outlineLevel="1" x14ac:dyDescent="0.25">
      <c r="A72" s="81" t="s">
        <v>152</v>
      </c>
      <c r="B72" s="40"/>
      <c r="C72" s="40"/>
      <c r="D72" s="40"/>
      <c r="J72" s="98"/>
      <c r="O72" s="48"/>
    </row>
    <row r="73" spans="1:15" outlineLevel="1" x14ac:dyDescent="0.25">
      <c r="A73" s="81" t="s">
        <v>10</v>
      </c>
      <c r="B73" s="40"/>
      <c r="C73" s="40">
        <f>-SUM(B135:F135)</f>
        <v>-55</v>
      </c>
      <c r="D73" s="40"/>
      <c r="J73" s="98"/>
      <c r="O73" s="48"/>
    </row>
    <row r="74" spans="1:15" outlineLevel="1" x14ac:dyDescent="0.25">
      <c r="A74" s="81" t="s">
        <v>43</v>
      </c>
      <c r="B74" s="40"/>
      <c r="C74" s="40"/>
      <c r="D74" s="40"/>
      <c r="J74" s="98"/>
      <c r="O74" s="48"/>
    </row>
    <row r="75" spans="1:15" outlineLevel="1" x14ac:dyDescent="0.25">
      <c r="A75" s="81" t="s">
        <v>109</v>
      </c>
      <c r="B75" s="40"/>
      <c r="C75" s="40"/>
      <c r="D75" s="40"/>
      <c r="J75" s="98"/>
      <c r="O75" s="48"/>
    </row>
    <row r="76" spans="1:15" hidden="1" x14ac:dyDescent="0.25">
      <c r="A76" s="33" t="s">
        <v>127</v>
      </c>
      <c r="B76" s="40">
        <f>-1.10833333333333*B4</f>
        <v>-4.7499999999999858</v>
      </c>
      <c r="C76" s="40"/>
      <c r="D76" s="40">
        <f t="shared" ref="D76:D77" si="0">C76-B76</f>
        <v>4.7499999999999858</v>
      </c>
      <c r="H76" s="95">
        <f>C76-F76</f>
        <v>0</v>
      </c>
      <c r="I76" s="95">
        <f>H76-B76</f>
        <v>4.7499999999999858</v>
      </c>
      <c r="J76" s="98"/>
      <c r="O76" s="48"/>
    </row>
    <row r="77" spans="1:15" hidden="1" x14ac:dyDescent="0.25">
      <c r="A77" s="33" t="s">
        <v>128</v>
      </c>
      <c r="B77" s="40">
        <f>-69.3994833333333*B4</f>
        <v>-297.42635714285694</v>
      </c>
      <c r="C77" s="40">
        <f>-(F177+F176)</f>
        <v>-604.01400000000001</v>
      </c>
      <c r="D77" s="40">
        <f t="shared" si="0"/>
        <v>-306.58764285714307</v>
      </c>
      <c r="H77" s="95">
        <f>C77-F77</f>
        <v>-604.01400000000001</v>
      </c>
      <c r="I77" s="95">
        <f>H77-B77</f>
        <v>-306.58764285714307</v>
      </c>
      <c r="J77" s="98" t="s">
        <v>177</v>
      </c>
      <c r="O77" s="48"/>
    </row>
    <row r="78" spans="1:15" hidden="1" x14ac:dyDescent="0.25">
      <c r="A78" s="33" t="s">
        <v>129</v>
      </c>
      <c r="B78" s="40">
        <f>17.6243144114216*B4</f>
        <v>75.532776048949714</v>
      </c>
      <c r="C78" s="40">
        <f>SUM(C79:C80)</f>
        <v>218</v>
      </c>
      <c r="D78" s="40">
        <f>C78-B78</f>
        <v>142.4672239510503</v>
      </c>
      <c r="H78" s="95">
        <f>C78-F78</f>
        <v>218</v>
      </c>
      <c r="I78" s="95">
        <f>H78-B78</f>
        <v>142.4672239510503</v>
      </c>
      <c r="J78" s="49"/>
      <c r="O78" s="48"/>
    </row>
    <row r="79" spans="1:15" outlineLevel="1" x14ac:dyDescent="0.25">
      <c r="A79" s="81" t="s">
        <v>59</v>
      </c>
      <c r="B79" s="40"/>
      <c r="C79" s="40">
        <v>218</v>
      </c>
      <c r="D79" s="40"/>
      <c r="J79" s="49"/>
      <c r="O79" s="48"/>
    </row>
    <row r="80" spans="1:15" outlineLevel="1" x14ac:dyDescent="0.25">
      <c r="A80" s="84" t="s">
        <v>145</v>
      </c>
      <c r="B80" s="41"/>
      <c r="C80" s="41">
        <f>-E144</f>
        <v>0</v>
      </c>
      <c r="D80" s="41"/>
      <c r="J80" s="49"/>
      <c r="O80" s="48"/>
    </row>
    <row r="81" spans="1:15" hidden="1" x14ac:dyDescent="0.25">
      <c r="A81" s="34"/>
      <c r="B81" s="40"/>
      <c r="C81" s="40"/>
      <c r="D81" s="40"/>
      <c r="J81" s="49"/>
      <c r="O81" s="48"/>
    </row>
    <row r="82" spans="1:15" hidden="1" x14ac:dyDescent="0.25">
      <c r="A82" s="35" t="s">
        <v>135</v>
      </c>
      <c r="B82" s="42">
        <f>B67+B71+B76+B77+B78</f>
        <v>-366.92786680819296</v>
      </c>
      <c r="C82" s="42">
        <f>C67+C71+C78+C77+C76</f>
        <v>-457.82022000000001</v>
      </c>
      <c r="D82" s="42">
        <f>D67+D71+D76+D77+D78</f>
        <v>-90.892353191807047</v>
      </c>
      <c r="H82" s="95">
        <f>SUM(H67,H76,H77,H78,H71)</f>
        <v>-442.82022000000006</v>
      </c>
      <c r="I82" s="95">
        <f>SUM(I78,I77,I76,I71,I67)</f>
        <v>-75.892353191807047</v>
      </c>
      <c r="J82" s="49"/>
      <c r="O82" s="48"/>
    </row>
    <row r="83" spans="1:15" hidden="1" x14ac:dyDescent="0.25">
      <c r="A83" s="36"/>
      <c r="B83" s="44"/>
      <c r="C83" s="44"/>
      <c r="D83" s="44"/>
      <c r="J83" s="49"/>
      <c r="O83" s="48"/>
    </row>
    <row r="84" spans="1:15" hidden="1" x14ac:dyDescent="0.25">
      <c r="A84" s="37" t="s">
        <v>136</v>
      </c>
      <c r="B84" s="45">
        <f>B82+B65</f>
        <v>-1401.449002287703</v>
      </c>
      <c r="C84" s="45">
        <f>C82+C65</f>
        <v>-1045.1629425714284</v>
      </c>
      <c r="D84" s="45">
        <f t="shared" ref="D84" si="1">D82+D65</f>
        <v>356.28605971627456</v>
      </c>
      <c r="H84" s="95">
        <f>H82+H65</f>
        <v>-867.08794257142836</v>
      </c>
      <c r="I84" s="95">
        <f>I82+I65</f>
        <v>534.36105971627455</v>
      </c>
      <c r="J84" s="49"/>
      <c r="O84" s="48"/>
    </row>
    <row r="85" spans="1:15" hidden="1" x14ac:dyDescent="0.25">
      <c r="A85" s="34"/>
      <c r="B85" s="44"/>
      <c r="C85" s="44"/>
      <c r="D85" s="44"/>
      <c r="J85" s="49"/>
      <c r="O85" s="48"/>
    </row>
    <row r="86" spans="1:15" hidden="1" x14ac:dyDescent="0.25">
      <c r="A86" s="31" t="s">
        <v>130</v>
      </c>
      <c r="B86" s="43">
        <v>0</v>
      </c>
      <c r="C86" s="43"/>
      <c r="D86" s="43"/>
      <c r="J86" s="49"/>
      <c r="O86" s="48"/>
    </row>
    <row r="87" spans="1:15" hidden="1" x14ac:dyDescent="0.25">
      <c r="A87" s="33" t="s">
        <v>131</v>
      </c>
      <c r="B87" s="40">
        <v>0</v>
      </c>
      <c r="C87" s="40">
        <f>B118</f>
        <v>315</v>
      </c>
      <c r="D87" s="40"/>
      <c r="J87" s="49"/>
      <c r="O87" s="48"/>
    </row>
    <row r="88" spans="1:15" hidden="1" x14ac:dyDescent="0.25">
      <c r="A88" s="33" t="s">
        <v>132</v>
      </c>
      <c r="B88" s="40">
        <v>0</v>
      </c>
      <c r="C88" s="40"/>
      <c r="D88" s="40"/>
      <c r="J88" s="49"/>
      <c r="O88" s="48"/>
    </row>
    <row r="89" spans="1:15" hidden="1" x14ac:dyDescent="0.25">
      <c r="A89" s="33" t="s">
        <v>133</v>
      </c>
      <c r="B89" s="40">
        <f>-42*B4</f>
        <v>-180</v>
      </c>
      <c r="C89" s="40">
        <f>SUM(C90:C98)</f>
        <v>-306.96319500000004</v>
      </c>
      <c r="D89" s="40">
        <f>C89-B89</f>
        <v>-126.96319500000004</v>
      </c>
      <c r="F89" s="92">
        <f>SUM(F90:F98)</f>
        <v>-168.51756499999999</v>
      </c>
      <c r="H89" s="95">
        <f>C89-F89</f>
        <v>-138.44563000000005</v>
      </c>
      <c r="I89" s="95">
        <f>H89-B89</f>
        <v>41.554369999999949</v>
      </c>
      <c r="J89" s="49"/>
      <c r="O89" s="48"/>
    </row>
    <row r="90" spans="1:15" outlineLevel="1" x14ac:dyDescent="0.25">
      <c r="A90" s="81" t="s">
        <v>80</v>
      </c>
      <c r="B90" s="40"/>
      <c r="C90" s="40">
        <f>-(B136+D136)</f>
        <v>-32.520960000000002</v>
      </c>
      <c r="D90" s="40"/>
      <c r="F90" s="92">
        <f>-B136</f>
        <v>-21.624479999999998</v>
      </c>
      <c r="J90" s="49"/>
      <c r="O90" s="48"/>
    </row>
    <row r="91" spans="1:15" outlineLevel="1" x14ac:dyDescent="0.25">
      <c r="A91" s="81" t="s">
        <v>9</v>
      </c>
      <c r="B91" s="40"/>
      <c r="C91" s="40">
        <f>-B137</f>
        <v>-23.5</v>
      </c>
      <c r="D91" s="40"/>
      <c r="F91" s="92">
        <f>-B137</f>
        <v>-23.5</v>
      </c>
      <c r="J91" s="49"/>
      <c r="O91" s="48"/>
    </row>
    <row r="92" spans="1:15" outlineLevel="1" x14ac:dyDescent="0.25">
      <c r="A92" s="81" t="s">
        <v>73</v>
      </c>
      <c r="B92" s="40"/>
      <c r="C92" s="40"/>
      <c r="D92" s="40"/>
      <c r="J92" s="49"/>
      <c r="O92" s="48"/>
    </row>
    <row r="93" spans="1:15" outlineLevel="1" x14ac:dyDescent="0.25">
      <c r="A93" s="81" t="s">
        <v>62</v>
      </c>
      <c r="B93" s="40"/>
      <c r="C93" s="40"/>
      <c r="D93" s="40"/>
      <c r="J93" s="49"/>
      <c r="O93" s="48"/>
    </row>
    <row r="94" spans="1:15" outlineLevel="1" x14ac:dyDescent="0.25">
      <c r="A94" s="81" t="s">
        <v>24</v>
      </c>
      <c r="B94" s="40"/>
      <c r="C94" s="40">
        <f>-B146</f>
        <v>-29.831534999999999</v>
      </c>
      <c r="D94" s="40"/>
      <c r="F94" s="92">
        <f>-B146</f>
        <v>-29.831534999999999</v>
      </c>
      <c r="J94" s="49"/>
      <c r="O94" s="48"/>
    </row>
    <row r="95" spans="1:15" outlineLevel="1" x14ac:dyDescent="0.25">
      <c r="A95" s="81" t="s">
        <v>68</v>
      </c>
      <c r="B95" s="40"/>
      <c r="C95" s="40">
        <f>-(B148+F148)</f>
        <v>-39.653954999999996</v>
      </c>
      <c r="D95" s="40"/>
      <c r="F95" s="92">
        <f>-B148</f>
        <v>-21.833955</v>
      </c>
      <c r="J95" s="49"/>
      <c r="O95" s="48"/>
    </row>
    <row r="96" spans="1:15" outlineLevel="1" x14ac:dyDescent="0.25">
      <c r="A96" s="81" t="s">
        <v>25</v>
      </c>
      <c r="B96" s="40"/>
      <c r="C96" s="40">
        <f>-(B151+F151)</f>
        <v>-15.050745000000001</v>
      </c>
      <c r="D96" s="40"/>
      <c r="F96" s="92">
        <f>-B151</f>
        <v>-10.727595000000001</v>
      </c>
      <c r="J96" s="49"/>
      <c r="O96" s="48"/>
    </row>
    <row r="97" spans="1:15" outlineLevel="1" x14ac:dyDescent="0.25">
      <c r="A97" s="81" t="s">
        <v>94</v>
      </c>
      <c r="B97" s="40"/>
      <c r="C97" s="40"/>
      <c r="D97" s="40"/>
      <c r="J97" s="49"/>
      <c r="O97" s="48"/>
    </row>
    <row r="98" spans="1:15" outlineLevel="1" x14ac:dyDescent="0.25">
      <c r="A98" s="84" t="s">
        <v>164</v>
      </c>
      <c r="B98" s="41"/>
      <c r="C98" s="41">
        <f>-(B161+F161)-C42</f>
        <v>-166.40600000000001</v>
      </c>
      <c r="D98" s="41"/>
      <c r="F98" s="92">
        <f>-B161</f>
        <v>-61</v>
      </c>
      <c r="J98" s="49"/>
      <c r="O98" s="48"/>
    </row>
    <row r="99" spans="1:15" hidden="1" x14ac:dyDescent="0.25">
      <c r="A99" s="34"/>
      <c r="B99" s="44"/>
      <c r="C99" s="44"/>
      <c r="D99" s="44"/>
      <c r="J99" s="49"/>
      <c r="O99" s="48"/>
    </row>
    <row r="100" spans="1:15" hidden="1" x14ac:dyDescent="0.25">
      <c r="A100" s="35" t="s">
        <v>137</v>
      </c>
      <c r="B100" s="42">
        <f>SUM(B86:B89)</f>
        <v>-180</v>
      </c>
      <c r="C100" s="42">
        <f>SUM(C86:C89)</f>
        <v>8.0368049999999585</v>
      </c>
      <c r="D100" s="42">
        <f>SUM(D86:D89)</f>
        <v>-126.96319500000004</v>
      </c>
      <c r="H100" s="95">
        <f>H89</f>
        <v>-138.44563000000005</v>
      </c>
      <c r="I100" s="95">
        <f>I89</f>
        <v>41.554369999999949</v>
      </c>
      <c r="J100" s="49"/>
      <c r="O100" s="48"/>
    </row>
    <row r="101" spans="1:15" hidden="1" x14ac:dyDescent="0.25">
      <c r="A101" s="34"/>
      <c r="B101" s="44"/>
      <c r="C101" s="44"/>
      <c r="D101" s="44"/>
      <c r="J101" s="49"/>
      <c r="O101" s="48"/>
    </row>
    <row r="102" spans="1:15" hidden="1" x14ac:dyDescent="0.25">
      <c r="A102" s="37" t="s">
        <v>138</v>
      </c>
      <c r="B102" s="45">
        <f>B100+B84</f>
        <v>-1581.449002287703</v>
      </c>
      <c r="C102" s="45">
        <f>C100+C84</f>
        <v>-1037.1261375714284</v>
      </c>
      <c r="D102" s="45">
        <f>D100+D84</f>
        <v>229.32286471627452</v>
      </c>
      <c r="F102" s="92">
        <f>F89+F28+F24+F18+F12+F71</f>
        <v>-346.59256499999998</v>
      </c>
      <c r="H102" s="95">
        <f>H100+H84</f>
        <v>-1005.5335725714284</v>
      </c>
      <c r="I102" s="95">
        <f>I100+I84</f>
        <v>575.9154297162745</v>
      </c>
      <c r="J102" s="49"/>
      <c r="O102" s="48"/>
    </row>
    <row r="103" spans="1:15" hidden="1" x14ac:dyDescent="0.25">
      <c r="J103" s="49"/>
      <c r="K103" s="48"/>
      <c r="L103" s="48"/>
      <c r="M103" s="48"/>
      <c r="N103" s="48"/>
      <c r="O103" s="48"/>
    </row>
    <row r="104" spans="1:15" hidden="1" x14ac:dyDescent="0.25">
      <c r="C104" s="92"/>
      <c r="J104" s="49"/>
      <c r="K104" s="48"/>
      <c r="L104" s="48"/>
      <c r="M104" s="48"/>
      <c r="N104" s="48"/>
      <c r="O104" s="48"/>
    </row>
    <row r="105" spans="1:15" hidden="1" x14ac:dyDescent="0.25">
      <c r="C105" s="93"/>
      <c r="J105" s="49"/>
      <c r="K105" s="48"/>
      <c r="L105" s="48"/>
      <c r="M105" s="48"/>
      <c r="N105" s="48"/>
      <c r="O105" s="48"/>
    </row>
    <row r="106" spans="1:15" hidden="1" x14ac:dyDescent="0.25">
      <c r="J106" s="49"/>
      <c r="K106" s="48"/>
      <c r="L106" s="48"/>
      <c r="M106" s="48"/>
      <c r="N106" s="48"/>
      <c r="O106" s="48"/>
    </row>
    <row r="107" spans="1:15" x14ac:dyDescent="0.25">
      <c r="J107" s="49"/>
      <c r="K107" s="48"/>
      <c r="L107" s="48"/>
      <c r="M107" s="48"/>
      <c r="N107" s="48"/>
      <c r="O107" s="48"/>
    </row>
    <row r="108" spans="1:15" x14ac:dyDescent="0.25">
      <c r="A108" s="2" t="s">
        <v>6</v>
      </c>
      <c r="B108" s="13">
        <v>9</v>
      </c>
      <c r="C108" s="13">
        <v>10</v>
      </c>
      <c r="D108" s="13">
        <v>11</v>
      </c>
      <c r="E108" s="13">
        <v>12</v>
      </c>
      <c r="F108" s="13">
        <v>13</v>
      </c>
      <c r="I108" s="16">
        <v>2017</v>
      </c>
      <c r="J108" s="49"/>
      <c r="K108" s="48"/>
      <c r="L108" s="48"/>
      <c r="M108" s="48"/>
      <c r="N108" s="48"/>
      <c r="O108" s="48"/>
    </row>
    <row r="109" spans="1:15" x14ac:dyDescent="0.25">
      <c r="A109" s="2"/>
      <c r="B109" s="3" t="s">
        <v>108</v>
      </c>
      <c r="C109" s="3" t="s">
        <v>160</v>
      </c>
      <c r="D109" s="3" t="s">
        <v>161</v>
      </c>
      <c r="E109" s="3" t="s">
        <v>162</v>
      </c>
      <c r="F109" s="3" t="s">
        <v>163</v>
      </c>
      <c r="I109" s="17">
        <v>2016</v>
      </c>
      <c r="J109" s="49"/>
      <c r="K109" s="48"/>
      <c r="L109" s="48"/>
      <c r="M109" s="48"/>
      <c r="N109" s="48"/>
      <c r="O109" s="48"/>
    </row>
    <row r="110" spans="1:15" x14ac:dyDescent="0.25">
      <c r="A110" s="4" t="s">
        <v>0</v>
      </c>
      <c r="B110" s="5">
        <v>125.76754500000015</v>
      </c>
      <c r="C110" s="5">
        <f>B231</f>
        <v>654.62679500000013</v>
      </c>
      <c r="D110" s="5">
        <f>C231</f>
        <v>345.73954500000008</v>
      </c>
      <c r="E110" s="5">
        <f>D231</f>
        <v>486.03104642857164</v>
      </c>
      <c r="F110" s="5">
        <f>E231</f>
        <v>344.50704642857158</v>
      </c>
      <c r="G110" s="1"/>
      <c r="H110" s="1"/>
      <c r="I110" s="18" t="s">
        <v>112</v>
      </c>
      <c r="J110" s="49"/>
      <c r="K110" s="48"/>
      <c r="L110" s="48"/>
      <c r="M110" s="48"/>
      <c r="N110" s="48"/>
      <c r="O110" s="48"/>
    </row>
    <row r="111" spans="1:15" x14ac:dyDescent="0.25">
      <c r="A111" s="15" t="s">
        <v>1</v>
      </c>
      <c r="B111" s="4"/>
      <c r="C111" s="4"/>
      <c r="D111" s="4"/>
      <c r="E111" s="4"/>
      <c r="F111" s="4"/>
      <c r="G111" s="49"/>
      <c r="H111" s="49"/>
      <c r="I111" s="49"/>
      <c r="J111" s="49"/>
      <c r="K111" s="48"/>
      <c r="L111" s="48"/>
      <c r="M111" s="48"/>
      <c r="N111" s="48"/>
      <c r="O111" s="48"/>
    </row>
    <row r="112" spans="1:15" x14ac:dyDescent="0.25">
      <c r="A112" s="2" t="s">
        <v>2</v>
      </c>
      <c r="B112" s="6">
        <v>754</v>
      </c>
      <c r="C112" s="6">
        <v>46.405999999999999</v>
      </c>
      <c r="D112" s="6">
        <f>135903.64*B4/1000</f>
        <v>582.44417142857151</v>
      </c>
      <c r="E112" s="6"/>
      <c r="F112" s="6">
        <f>106882.28*4.2/1000</f>
        <v>448.905576</v>
      </c>
      <c r="G112" s="49"/>
      <c r="H112" s="49"/>
      <c r="I112" s="49"/>
      <c r="J112" s="49"/>
      <c r="K112" s="48"/>
      <c r="L112" s="48"/>
      <c r="M112" s="48"/>
      <c r="N112" s="48"/>
      <c r="O112" s="48"/>
    </row>
    <row r="113" spans="1:15" x14ac:dyDescent="0.25">
      <c r="A113" s="2" t="s">
        <v>39</v>
      </c>
      <c r="B113" s="2"/>
      <c r="C113" s="2"/>
      <c r="D113" s="2"/>
      <c r="E113" s="2"/>
      <c r="F113" s="2"/>
      <c r="G113" s="49"/>
      <c r="H113" s="49"/>
      <c r="I113" s="49"/>
      <c r="J113" s="49"/>
      <c r="K113" s="48"/>
      <c r="L113" s="48"/>
      <c r="M113" s="48"/>
      <c r="N113" s="48"/>
      <c r="O113" s="48"/>
    </row>
    <row r="114" spans="1:15" x14ac:dyDescent="0.25">
      <c r="A114" s="2" t="s">
        <v>3</v>
      </c>
      <c r="B114" s="2"/>
      <c r="C114" s="2"/>
      <c r="D114" s="2"/>
      <c r="E114" s="2"/>
      <c r="F114" s="2"/>
      <c r="G114" s="49"/>
      <c r="H114" s="49"/>
      <c r="I114" s="49"/>
      <c r="J114" s="49"/>
      <c r="K114" s="48"/>
      <c r="L114" s="48"/>
      <c r="M114" s="48"/>
      <c r="N114" s="48"/>
      <c r="O114" s="48"/>
    </row>
    <row r="115" spans="1:15" x14ac:dyDescent="0.25">
      <c r="A115" s="2" t="s">
        <v>4</v>
      </c>
      <c r="B115" s="2"/>
      <c r="C115" s="2"/>
      <c r="D115" s="2"/>
      <c r="E115" s="2"/>
      <c r="F115" s="2"/>
      <c r="G115" s="49"/>
      <c r="H115" s="49"/>
      <c r="I115" s="49"/>
      <c r="J115" s="49"/>
      <c r="K115" s="48"/>
      <c r="L115" s="48"/>
      <c r="M115" s="48"/>
      <c r="N115" s="48"/>
      <c r="O115" s="48"/>
    </row>
    <row r="116" spans="1:15" x14ac:dyDescent="0.25">
      <c r="A116" s="2" t="s">
        <v>32</v>
      </c>
      <c r="B116" s="2"/>
      <c r="C116" s="2"/>
      <c r="D116" s="2"/>
      <c r="E116" s="2"/>
      <c r="F116" s="2"/>
      <c r="G116" s="49"/>
      <c r="H116" s="49"/>
      <c r="I116" s="49"/>
      <c r="J116" s="49"/>
      <c r="K116" s="48"/>
      <c r="L116" s="48"/>
      <c r="M116" s="48"/>
      <c r="N116" s="48"/>
      <c r="O116" s="48"/>
    </row>
    <row r="117" spans="1:15" x14ac:dyDescent="0.25">
      <c r="A117" s="2" t="s">
        <v>74</v>
      </c>
      <c r="B117" s="2"/>
      <c r="C117" s="2"/>
      <c r="D117" s="2"/>
      <c r="E117" s="2"/>
      <c r="F117" s="2"/>
      <c r="G117" s="49"/>
      <c r="H117" s="49"/>
      <c r="I117" s="49"/>
      <c r="J117" s="49"/>
      <c r="K117" s="48"/>
      <c r="L117" s="48"/>
      <c r="M117" s="48"/>
      <c r="N117" s="48"/>
      <c r="O117" s="48"/>
    </row>
    <row r="118" spans="1:15" x14ac:dyDescent="0.25">
      <c r="A118" s="2" t="s">
        <v>181</v>
      </c>
      <c r="B118" s="2">
        <f>70000*4.5/1000</f>
        <v>315</v>
      </c>
      <c r="C118" s="2"/>
      <c r="D118" s="2"/>
      <c r="E118" s="2"/>
      <c r="F118" s="2">
        <v>450</v>
      </c>
      <c r="G118" s="49"/>
      <c r="H118" s="49"/>
      <c r="I118" s="49"/>
      <c r="J118" s="49"/>
      <c r="K118" s="48"/>
      <c r="L118" s="48"/>
      <c r="M118" s="48"/>
      <c r="N118" s="48"/>
      <c r="O118" s="48"/>
    </row>
    <row r="119" spans="1:15" x14ac:dyDescent="0.25">
      <c r="A119" s="2" t="s">
        <v>99</v>
      </c>
      <c r="B119" s="2"/>
      <c r="C119" s="2"/>
      <c r="D119" s="2"/>
      <c r="E119" s="2"/>
      <c r="F119" s="2">
        <v>448</v>
      </c>
      <c r="G119" s="49"/>
      <c r="H119" s="49"/>
      <c r="I119" s="49"/>
      <c r="J119" s="49"/>
      <c r="K119" s="48"/>
      <c r="L119" s="48"/>
      <c r="M119" s="48"/>
      <c r="N119" s="48"/>
      <c r="O119" s="48"/>
    </row>
    <row r="120" spans="1:15" x14ac:dyDescent="0.25">
      <c r="A120" s="2" t="s">
        <v>59</v>
      </c>
      <c r="B120" s="2"/>
      <c r="C120" s="2"/>
      <c r="D120" s="2"/>
      <c r="E120" s="6">
        <v>137.005</v>
      </c>
      <c r="F120" s="2"/>
      <c r="G120" s="49"/>
      <c r="H120" s="49"/>
      <c r="I120" s="49"/>
    </row>
    <row r="121" spans="1:15" x14ac:dyDescent="0.25">
      <c r="A121" s="2" t="s">
        <v>33</v>
      </c>
      <c r="B121" s="2"/>
      <c r="C121" s="2"/>
      <c r="D121" s="2"/>
      <c r="E121" s="2"/>
      <c r="F121" s="2"/>
      <c r="G121" s="49"/>
      <c r="H121" s="49"/>
      <c r="I121" s="49"/>
    </row>
    <row r="122" spans="1:15" x14ac:dyDescent="0.25">
      <c r="A122" s="2" t="s">
        <v>96</v>
      </c>
      <c r="B122" s="2"/>
      <c r="C122" s="2"/>
      <c r="D122" s="2"/>
      <c r="E122" s="2"/>
      <c r="F122" s="2"/>
      <c r="G122" s="49"/>
      <c r="H122" s="49"/>
      <c r="I122" s="49"/>
    </row>
    <row r="123" spans="1:15" x14ac:dyDescent="0.25">
      <c r="A123" s="2" t="s">
        <v>97</v>
      </c>
      <c r="B123" s="2"/>
      <c r="C123" s="2"/>
      <c r="D123" s="2"/>
      <c r="E123" s="2"/>
      <c r="F123" s="2"/>
      <c r="G123" s="49"/>
      <c r="H123" s="49"/>
      <c r="I123" s="49"/>
      <c r="J123" s="49"/>
      <c r="K123" s="48"/>
      <c r="L123" s="48"/>
      <c r="M123" s="48"/>
      <c r="N123" s="48"/>
      <c r="O123" s="48"/>
    </row>
    <row r="124" spans="1:15" x14ac:dyDescent="0.25">
      <c r="A124" s="2" t="s">
        <v>81</v>
      </c>
      <c r="B124" s="2"/>
      <c r="C124" s="2"/>
      <c r="D124" s="2"/>
      <c r="E124" s="2"/>
      <c r="F124" s="2"/>
      <c r="G124" s="49"/>
      <c r="H124" s="49"/>
      <c r="I124" s="49"/>
      <c r="J124" s="49"/>
      <c r="K124" s="48"/>
      <c r="L124" s="48"/>
      <c r="M124" s="48"/>
      <c r="N124" s="48"/>
      <c r="O124" s="48"/>
    </row>
    <row r="125" spans="1:15" x14ac:dyDescent="0.25">
      <c r="A125" s="2"/>
      <c r="B125" s="2"/>
      <c r="C125" s="2"/>
      <c r="D125" s="2"/>
      <c r="E125" s="2"/>
      <c r="F125" s="2"/>
      <c r="G125" s="49"/>
      <c r="H125" s="49"/>
      <c r="I125" s="49"/>
      <c r="J125" s="49"/>
      <c r="K125" s="48"/>
      <c r="L125" s="48"/>
      <c r="M125" s="48"/>
      <c r="N125" s="48"/>
      <c r="O125" s="48"/>
    </row>
    <row r="126" spans="1:15" x14ac:dyDescent="0.25">
      <c r="A126" s="7" t="s">
        <v>7</v>
      </c>
      <c r="B126" s="8">
        <f>SUM(B112:B125)</f>
        <v>1069</v>
      </c>
      <c r="C126" s="8">
        <f>SUM(C112:C125)</f>
        <v>46.405999999999999</v>
      </c>
      <c r="D126" s="8">
        <f>SUM(D112:D125)</f>
        <v>582.44417142857151</v>
      </c>
      <c r="E126" s="8">
        <f>SUM(E112:E125)</f>
        <v>137.005</v>
      </c>
      <c r="F126" s="8">
        <f>SUM(F112:F125)</f>
        <v>1346.9055760000001</v>
      </c>
      <c r="G126" s="49"/>
      <c r="H126" s="49"/>
      <c r="I126" s="49"/>
      <c r="J126" s="49"/>
      <c r="K126" s="48"/>
      <c r="L126" s="48"/>
      <c r="M126" s="48"/>
      <c r="N126" s="48"/>
      <c r="O126" s="48"/>
    </row>
    <row r="127" spans="1:15" x14ac:dyDescent="0.25">
      <c r="A127" s="15" t="s">
        <v>5</v>
      </c>
      <c r="B127" s="4"/>
      <c r="C127" s="4"/>
      <c r="D127" s="4"/>
      <c r="E127" s="4"/>
      <c r="F127" s="4"/>
      <c r="G127" s="49"/>
      <c r="H127" s="49"/>
      <c r="I127" s="49"/>
      <c r="J127" s="49"/>
      <c r="K127" s="48"/>
      <c r="L127" s="48"/>
      <c r="M127" s="48"/>
      <c r="N127" s="48"/>
      <c r="O127" s="48"/>
    </row>
    <row r="128" spans="1:15" x14ac:dyDescent="0.25">
      <c r="A128" s="9" t="s">
        <v>8</v>
      </c>
      <c r="B128" s="86"/>
      <c r="C128" s="86"/>
      <c r="D128" s="86"/>
      <c r="E128" s="86"/>
      <c r="F128" s="58"/>
      <c r="G128" s="49"/>
      <c r="H128" s="49"/>
      <c r="I128" s="49"/>
    </row>
    <row r="129" spans="1:15" x14ac:dyDescent="0.25">
      <c r="A129" s="2" t="s">
        <v>22</v>
      </c>
      <c r="B129" s="91">
        <v>75</v>
      </c>
      <c r="C129" s="87"/>
      <c r="D129" s="86"/>
      <c r="E129" s="86"/>
      <c r="F129" s="86"/>
      <c r="G129" s="49"/>
      <c r="H129" s="49"/>
      <c r="I129" s="49"/>
    </row>
    <row r="130" spans="1:15" x14ac:dyDescent="0.25">
      <c r="A130" s="85" t="s">
        <v>103</v>
      </c>
      <c r="B130" s="58">
        <v>45</v>
      </c>
      <c r="C130" s="58">
        <v>268</v>
      </c>
      <c r="D130" s="86"/>
      <c r="E130" s="86"/>
      <c r="F130" s="58">
        <v>45</v>
      </c>
      <c r="G130" s="49"/>
      <c r="H130" s="49"/>
      <c r="I130" s="49"/>
    </row>
    <row r="131" spans="1:15" x14ac:dyDescent="0.25">
      <c r="A131" s="85" t="s">
        <v>182</v>
      </c>
      <c r="B131" s="58">
        <f>36000*4.5/1000</f>
        <v>162</v>
      </c>
      <c r="C131" s="86"/>
      <c r="D131" s="86"/>
      <c r="E131" s="86"/>
      <c r="F131" s="88"/>
      <c r="G131" s="49"/>
      <c r="H131" s="49"/>
      <c r="I131" s="49"/>
    </row>
    <row r="132" spans="1:15" x14ac:dyDescent="0.25">
      <c r="A132" s="61" t="s">
        <v>147</v>
      </c>
      <c r="B132" s="86"/>
      <c r="C132" s="86"/>
      <c r="D132" s="86"/>
      <c r="E132" s="58">
        <v>198.43899999999999</v>
      </c>
      <c r="F132" s="88"/>
      <c r="G132" s="67"/>
      <c r="H132" s="68"/>
      <c r="I132" s="69"/>
      <c r="J132" s="49"/>
      <c r="K132" s="48"/>
      <c r="L132" s="48"/>
      <c r="M132" s="48"/>
      <c r="N132" s="48"/>
      <c r="O132" s="48"/>
    </row>
    <row r="133" spans="1:15" x14ac:dyDescent="0.25">
      <c r="A133" s="61" t="s">
        <v>152</v>
      </c>
      <c r="B133" s="86"/>
      <c r="C133" s="86"/>
      <c r="D133" s="86"/>
      <c r="E133" s="58">
        <v>13</v>
      </c>
      <c r="F133" s="88"/>
      <c r="G133" s="70">
        <f>SUM(B132:F133)</f>
        <v>211.43899999999999</v>
      </c>
      <c r="H133" s="71" t="s">
        <v>156</v>
      </c>
      <c r="I133" s="72"/>
      <c r="J133" s="49"/>
      <c r="K133" s="48"/>
      <c r="L133" s="48"/>
      <c r="M133" s="48"/>
      <c r="N133" s="48"/>
      <c r="O133" s="48"/>
    </row>
    <row r="134" spans="1:15" x14ac:dyDescent="0.25">
      <c r="A134" s="9" t="s">
        <v>29</v>
      </c>
      <c r="B134" s="86"/>
      <c r="C134" s="86"/>
      <c r="D134" s="58">
        <v>83.166719999999998</v>
      </c>
      <c r="E134" s="86"/>
      <c r="F134" s="86"/>
      <c r="G134" s="49"/>
      <c r="H134" s="49"/>
      <c r="I134" s="49"/>
      <c r="J134" s="49"/>
      <c r="K134" s="48"/>
      <c r="L134" s="48"/>
      <c r="M134" s="48"/>
      <c r="N134" s="48"/>
      <c r="O134" s="48"/>
    </row>
    <row r="135" spans="1:15" x14ac:dyDescent="0.25">
      <c r="A135" s="10" t="s">
        <v>10</v>
      </c>
      <c r="B135" s="58">
        <v>15</v>
      </c>
      <c r="C135" s="58">
        <v>15</v>
      </c>
      <c r="D135" s="58">
        <v>15</v>
      </c>
      <c r="E135" s="58"/>
      <c r="F135" s="58">
        <v>10</v>
      </c>
      <c r="G135" s="49"/>
      <c r="H135" s="49"/>
      <c r="I135" s="49"/>
      <c r="J135" s="49"/>
      <c r="K135" s="48"/>
      <c r="L135" s="48"/>
      <c r="M135" s="48"/>
      <c r="N135" s="48"/>
      <c r="O135" s="48"/>
    </row>
    <row r="136" spans="1:15" x14ac:dyDescent="0.25">
      <c r="A136" s="2" t="s">
        <v>80</v>
      </c>
      <c r="B136" s="91">
        <v>21.624479999999998</v>
      </c>
      <c r="C136" s="86"/>
      <c r="D136" s="91">
        <v>10.89648</v>
      </c>
      <c r="E136" s="86"/>
      <c r="F136" s="58">
        <v>10.71143</v>
      </c>
      <c r="G136" s="49"/>
      <c r="H136" s="49"/>
      <c r="I136" s="49"/>
      <c r="J136" s="49"/>
      <c r="K136" s="48"/>
      <c r="L136" s="48"/>
      <c r="M136" s="48"/>
      <c r="N136" s="48"/>
      <c r="O136" s="48"/>
    </row>
    <row r="137" spans="1:15" x14ac:dyDescent="0.25">
      <c r="A137" s="10" t="s">
        <v>9</v>
      </c>
      <c r="B137" s="91">
        <v>23.5</v>
      </c>
      <c r="C137" s="86"/>
      <c r="D137" s="58">
        <v>12.917</v>
      </c>
      <c r="E137" s="86"/>
      <c r="F137" s="58">
        <f>11.1384+12.376</f>
        <v>23.514400000000002</v>
      </c>
      <c r="G137" s="49"/>
      <c r="H137" s="49"/>
      <c r="I137" s="49"/>
      <c r="J137" s="49"/>
      <c r="K137" s="48"/>
      <c r="L137" s="48"/>
      <c r="M137" s="48"/>
      <c r="N137" s="48"/>
      <c r="O137" s="48"/>
    </row>
    <row r="138" spans="1:15" x14ac:dyDescent="0.25">
      <c r="A138" s="2" t="s">
        <v>43</v>
      </c>
      <c r="B138" s="86"/>
      <c r="C138" s="86"/>
      <c r="D138" s="86"/>
      <c r="E138" s="86"/>
      <c r="F138" s="86"/>
      <c r="G138" s="49"/>
      <c r="H138" s="49"/>
      <c r="I138" s="49"/>
      <c r="J138" s="49"/>
      <c r="K138" s="48"/>
      <c r="L138" s="48"/>
      <c r="M138" s="48"/>
      <c r="N138" s="48"/>
      <c r="O138" s="48"/>
    </row>
    <row r="139" spans="1:15" x14ac:dyDescent="0.25">
      <c r="A139" s="2" t="s">
        <v>111</v>
      </c>
      <c r="B139" s="86"/>
      <c r="C139" s="86"/>
      <c r="D139" s="58">
        <v>6.2260900000000001</v>
      </c>
      <c r="E139" s="58">
        <v>14.404999999999999</v>
      </c>
      <c r="F139" s="86"/>
      <c r="G139" s="49"/>
      <c r="H139" s="49"/>
      <c r="I139" s="49"/>
      <c r="J139" s="49"/>
      <c r="K139" s="48"/>
      <c r="L139" s="48"/>
      <c r="M139" s="48"/>
      <c r="N139" s="48"/>
      <c r="O139" s="48"/>
    </row>
    <row r="140" spans="1:15" x14ac:dyDescent="0.25">
      <c r="A140" s="2" t="s">
        <v>73</v>
      </c>
      <c r="B140" s="86"/>
      <c r="C140" s="86"/>
      <c r="D140" s="86"/>
      <c r="F140" s="58"/>
      <c r="G140" s="49"/>
      <c r="H140" s="49"/>
      <c r="I140" s="49"/>
      <c r="J140" s="49"/>
      <c r="K140" s="48"/>
      <c r="L140" s="48"/>
      <c r="M140" s="48"/>
      <c r="N140" s="48"/>
      <c r="O140" s="48"/>
    </row>
    <row r="141" spans="1:15" x14ac:dyDescent="0.25">
      <c r="A141" s="2" t="s">
        <v>62</v>
      </c>
      <c r="B141" s="58">
        <v>0.23</v>
      </c>
      <c r="C141" s="86"/>
      <c r="D141" s="86"/>
      <c r="E141" s="86"/>
      <c r="F141" s="86"/>
      <c r="G141" s="49"/>
      <c r="H141" s="49"/>
      <c r="I141" s="49"/>
      <c r="J141" s="49"/>
      <c r="K141" s="48"/>
      <c r="L141" s="48"/>
      <c r="M141" s="48"/>
      <c r="N141" s="48"/>
      <c r="O141" s="48"/>
    </row>
    <row r="142" spans="1:15" x14ac:dyDescent="0.25">
      <c r="A142" s="2" t="s">
        <v>52</v>
      </c>
      <c r="B142" s="58">
        <v>5.0830000000000002</v>
      </c>
      <c r="C142" s="86"/>
      <c r="D142" s="86"/>
      <c r="E142" s="86"/>
      <c r="F142" s="58">
        <v>5.2220000000000004</v>
      </c>
      <c r="G142" s="49"/>
      <c r="H142" s="49"/>
      <c r="I142" s="49"/>
      <c r="J142" s="49"/>
      <c r="K142" s="48"/>
      <c r="L142" s="48"/>
      <c r="M142" s="48"/>
      <c r="N142" s="48"/>
      <c r="O142" s="48"/>
    </row>
    <row r="143" spans="1:15" x14ac:dyDescent="0.25">
      <c r="A143" s="10" t="s">
        <v>12</v>
      </c>
      <c r="B143" s="58">
        <v>2.7570000000000001</v>
      </c>
      <c r="C143" s="86"/>
      <c r="D143" s="58">
        <v>5</v>
      </c>
      <c r="E143" s="86"/>
      <c r="F143" s="58">
        <v>1.9973799999999999</v>
      </c>
      <c r="G143" s="49"/>
      <c r="H143" s="49"/>
      <c r="I143" s="49"/>
      <c r="J143" s="49"/>
      <c r="K143" s="48"/>
      <c r="L143" s="48"/>
      <c r="M143" s="48"/>
      <c r="N143" s="48"/>
      <c r="O143" s="48"/>
    </row>
    <row r="144" spans="1:15" x14ac:dyDescent="0.25">
      <c r="A144" s="59" t="s">
        <v>145</v>
      </c>
      <c r="B144" s="86"/>
      <c r="C144" s="86"/>
      <c r="D144" s="86"/>
      <c r="E144" s="58"/>
      <c r="F144" s="88"/>
      <c r="G144" s="67"/>
      <c r="H144" s="68"/>
      <c r="I144" s="69"/>
      <c r="J144" s="49"/>
      <c r="K144" s="48"/>
      <c r="L144" s="48"/>
      <c r="M144" s="48"/>
      <c r="N144" s="48"/>
      <c r="O144" s="48"/>
    </row>
    <row r="145" spans="1:15" x14ac:dyDescent="0.25">
      <c r="A145" s="59" t="s">
        <v>146</v>
      </c>
      <c r="B145" s="86"/>
      <c r="C145" s="86"/>
      <c r="D145" s="86"/>
      <c r="E145" s="58">
        <v>51.884999999999998</v>
      </c>
      <c r="F145" s="88"/>
      <c r="G145" s="70">
        <f>SUM(B144:F145)</f>
        <v>51.884999999999998</v>
      </c>
      <c r="H145" s="71" t="s">
        <v>155</v>
      </c>
      <c r="I145" s="72"/>
      <c r="J145" s="49"/>
      <c r="K145" s="48"/>
      <c r="L145" s="48"/>
      <c r="M145" s="48"/>
      <c r="N145" s="48"/>
      <c r="O145" s="48"/>
    </row>
    <row r="146" spans="1:15" x14ac:dyDescent="0.25">
      <c r="A146" s="2" t="s">
        <v>24</v>
      </c>
      <c r="B146" s="91">
        <v>29.831534999999999</v>
      </c>
      <c r="C146" s="86"/>
      <c r="D146" s="86"/>
      <c r="F146" s="58">
        <v>29.654235</v>
      </c>
      <c r="G146" s="64"/>
      <c r="H146" s="64"/>
      <c r="I146" s="64"/>
      <c r="J146" s="49"/>
      <c r="K146" s="48"/>
      <c r="L146" s="48"/>
      <c r="M146" s="48"/>
      <c r="N146" s="48"/>
      <c r="O146" s="48"/>
    </row>
    <row r="147" spans="1:15" x14ac:dyDescent="0.25">
      <c r="A147" s="10" t="s">
        <v>109</v>
      </c>
      <c r="B147" s="86"/>
      <c r="C147" s="86"/>
      <c r="D147" s="86"/>
      <c r="E147" s="86"/>
      <c r="F147" s="86"/>
      <c r="G147" s="64"/>
      <c r="H147" s="64"/>
      <c r="I147" s="64"/>
      <c r="J147" s="49"/>
      <c r="K147" s="48"/>
      <c r="L147" s="48"/>
      <c r="M147" s="48"/>
      <c r="N147" s="48"/>
      <c r="O147" s="48"/>
    </row>
    <row r="148" spans="1:15" x14ac:dyDescent="0.25">
      <c r="A148" s="2" t="s">
        <v>68</v>
      </c>
      <c r="B148" s="91">
        <v>21.833955</v>
      </c>
      <c r="C148" s="86"/>
      <c r="D148" s="86"/>
      <c r="E148" s="86"/>
      <c r="F148" s="91">
        <v>17.82</v>
      </c>
      <c r="G148" s="64"/>
      <c r="H148" s="64"/>
      <c r="I148" s="64"/>
      <c r="J148" s="49"/>
      <c r="K148" s="48"/>
      <c r="L148" s="48"/>
      <c r="M148" s="48"/>
      <c r="N148" s="48"/>
      <c r="O148" s="48"/>
    </row>
    <row r="149" spans="1:15" x14ac:dyDescent="0.25">
      <c r="A149" s="59" t="s">
        <v>148</v>
      </c>
      <c r="B149" s="86"/>
      <c r="C149" s="58">
        <f>13.6493+0.79433</f>
        <v>14.443630000000001</v>
      </c>
      <c r="D149" s="86"/>
      <c r="F149" s="58">
        <v>2.36259</v>
      </c>
      <c r="G149" s="67"/>
      <c r="H149" s="68"/>
      <c r="I149" s="69"/>
      <c r="J149" s="49"/>
      <c r="K149" s="48"/>
      <c r="L149" s="48"/>
      <c r="M149" s="48"/>
      <c r="N149" s="48"/>
      <c r="O149" s="48"/>
    </row>
    <row r="150" spans="1:15" x14ac:dyDescent="0.25">
      <c r="A150" s="59" t="s">
        <v>149</v>
      </c>
      <c r="B150" s="58">
        <v>9.4350000000000005</v>
      </c>
      <c r="C150" s="58">
        <v>6.3855399999999998</v>
      </c>
      <c r="D150" s="86"/>
      <c r="E150" s="86"/>
      <c r="F150" s="88"/>
      <c r="G150" s="70">
        <f>SUM(B149:F150)</f>
        <v>32.626759999999997</v>
      </c>
      <c r="H150" s="71" t="s">
        <v>157</v>
      </c>
      <c r="I150" s="72"/>
      <c r="J150" s="49"/>
      <c r="K150" s="48"/>
      <c r="L150" s="48"/>
      <c r="M150" s="48"/>
      <c r="N150" s="48"/>
      <c r="O150" s="48"/>
    </row>
    <row r="151" spans="1:15" x14ac:dyDescent="0.25">
      <c r="A151" s="2" t="s">
        <v>25</v>
      </c>
      <c r="B151" s="91">
        <v>10.727595000000001</v>
      </c>
      <c r="C151" s="86"/>
      <c r="D151" s="86"/>
      <c r="F151" s="91">
        <v>4.32315</v>
      </c>
      <c r="G151" s="64"/>
      <c r="H151" s="64"/>
      <c r="I151" s="64"/>
      <c r="J151" s="49"/>
      <c r="K151" s="48"/>
      <c r="L151" s="48"/>
      <c r="M151" s="48"/>
      <c r="N151" s="48"/>
      <c r="O151" s="48"/>
    </row>
    <row r="152" spans="1:15" x14ac:dyDescent="0.25">
      <c r="A152" s="10" t="s">
        <v>28</v>
      </c>
      <c r="B152" s="86"/>
      <c r="C152" s="58">
        <v>15.47</v>
      </c>
      <c r="D152" s="86"/>
      <c r="E152" s="86"/>
      <c r="F152" s="86"/>
      <c r="G152" s="64"/>
      <c r="H152" s="64"/>
      <c r="I152" s="64"/>
      <c r="J152" s="49"/>
      <c r="K152" s="48"/>
      <c r="L152" s="48"/>
      <c r="M152" s="48"/>
      <c r="N152" s="48"/>
      <c r="O152" s="48"/>
    </row>
    <row r="153" spans="1:15" x14ac:dyDescent="0.25">
      <c r="A153" s="59" t="s">
        <v>151</v>
      </c>
      <c r="B153" s="86"/>
      <c r="C153" s="89"/>
      <c r="D153" s="86"/>
      <c r="E153" s="86"/>
      <c r="F153" s="88"/>
      <c r="G153" s="67"/>
      <c r="H153" s="68"/>
      <c r="I153" s="69"/>
      <c r="J153" s="49"/>
      <c r="K153" s="48"/>
      <c r="L153" s="48"/>
      <c r="M153" s="48"/>
      <c r="N153" s="48"/>
      <c r="O153" s="48"/>
    </row>
    <row r="154" spans="1:15" x14ac:dyDescent="0.25">
      <c r="A154" s="59" t="s">
        <v>150</v>
      </c>
      <c r="B154" s="86"/>
      <c r="C154" s="58">
        <v>0.83299999999999996</v>
      </c>
      <c r="D154" s="58">
        <v>0.29099999999999998</v>
      </c>
      <c r="E154" s="86"/>
      <c r="F154" s="88"/>
      <c r="G154" s="70">
        <f>SUM(B153:F154)</f>
        <v>1.1239999999999999</v>
      </c>
      <c r="H154" s="71" t="s">
        <v>158</v>
      </c>
      <c r="I154" s="72"/>
      <c r="J154" s="49"/>
      <c r="K154" s="48"/>
      <c r="L154" s="48"/>
      <c r="M154" s="48"/>
      <c r="N154" s="48"/>
      <c r="O154" s="48"/>
    </row>
    <row r="155" spans="1:15" x14ac:dyDescent="0.25">
      <c r="A155" s="2" t="s">
        <v>94</v>
      </c>
      <c r="B155" s="86"/>
      <c r="C155" s="86"/>
      <c r="D155" s="86"/>
      <c r="E155" s="86"/>
      <c r="F155" s="58">
        <v>2.8321000000000001</v>
      </c>
      <c r="G155" s="49"/>
      <c r="H155" s="49"/>
      <c r="I155" s="49"/>
      <c r="J155" s="49"/>
      <c r="K155" s="48"/>
      <c r="L155" s="48"/>
      <c r="M155" s="48"/>
      <c r="N155" s="48"/>
      <c r="O155" s="48"/>
    </row>
    <row r="156" spans="1:15" x14ac:dyDescent="0.25">
      <c r="A156" s="2" t="s">
        <v>98</v>
      </c>
      <c r="B156" s="86"/>
      <c r="C156" s="58">
        <v>4</v>
      </c>
      <c r="D156" s="86"/>
      <c r="E156" s="86"/>
      <c r="F156" s="86"/>
      <c r="G156" s="49"/>
      <c r="H156" s="49"/>
      <c r="I156" s="49"/>
      <c r="J156" s="49"/>
      <c r="K156" s="48"/>
      <c r="L156" s="48"/>
      <c r="M156" s="48"/>
      <c r="N156" s="48"/>
      <c r="O156" s="48"/>
    </row>
    <row r="157" spans="1:15" x14ac:dyDescent="0.25">
      <c r="A157" s="2" t="s">
        <v>42</v>
      </c>
      <c r="B157" s="86"/>
      <c r="C157" s="58">
        <v>5.3870899999999997</v>
      </c>
      <c r="D157" s="86"/>
      <c r="E157" s="86"/>
      <c r="F157" s="86"/>
      <c r="G157" s="49"/>
      <c r="H157" s="49"/>
      <c r="I157" s="49"/>
      <c r="J157" s="49"/>
      <c r="K157" s="48"/>
      <c r="L157" s="48"/>
      <c r="M157" s="48"/>
      <c r="N157" s="48"/>
      <c r="O157" s="48"/>
    </row>
    <row r="158" spans="1:15" x14ac:dyDescent="0.25">
      <c r="A158" s="2" t="s">
        <v>76</v>
      </c>
      <c r="B158" s="86"/>
      <c r="C158" s="58">
        <v>0.20907000000000001</v>
      </c>
      <c r="D158" s="86"/>
      <c r="E158" s="86"/>
      <c r="F158" s="58">
        <v>0.76458999999999999</v>
      </c>
      <c r="G158" s="49"/>
      <c r="H158" s="49"/>
      <c r="I158" s="49"/>
      <c r="J158" s="49"/>
      <c r="K158" s="48"/>
      <c r="L158" s="48"/>
      <c r="M158" s="48"/>
      <c r="N158" s="48"/>
      <c r="O158" s="48"/>
    </row>
    <row r="159" spans="1:15" x14ac:dyDescent="0.25">
      <c r="A159" s="2" t="s">
        <v>30</v>
      </c>
      <c r="B159" s="86"/>
      <c r="C159" s="86"/>
      <c r="D159" s="58">
        <v>122.4627</v>
      </c>
      <c r="E159" s="86"/>
      <c r="F159" s="86"/>
      <c r="G159" s="49"/>
      <c r="H159" s="49"/>
      <c r="I159" s="49"/>
      <c r="J159" s="49"/>
      <c r="K159" s="48"/>
      <c r="L159" s="48"/>
      <c r="M159" s="48"/>
      <c r="N159" s="48"/>
      <c r="O159" s="48"/>
    </row>
    <row r="160" spans="1:15" x14ac:dyDescent="0.25">
      <c r="A160" s="9" t="s">
        <v>15</v>
      </c>
      <c r="B160" s="86"/>
      <c r="C160" s="86"/>
      <c r="D160" s="58">
        <v>149.94901999999999</v>
      </c>
      <c r="E160" s="86"/>
      <c r="F160" s="86"/>
      <c r="G160" s="49"/>
      <c r="H160" s="49"/>
      <c r="I160" s="49"/>
      <c r="J160" s="49"/>
      <c r="K160" s="48"/>
      <c r="L160" s="48"/>
      <c r="M160" s="48"/>
      <c r="N160" s="48"/>
      <c r="O160" s="48"/>
    </row>
    <row r="161" spans="1:15" x14ac:dyDescent="0.25">
      <c r="A161" s="2" t="s">
        <v>34</v>
      </c>
      <c r="B161" s="91">
        <v>61</v>
      </c>
      <c r="C161" s="58">
        <v>2.27</v>
      </c>
      <c r="D161" s="86"/>
      <c r="E161" s="86"/>
      <c r="F161" s="90">
        <v>111.40600000000001</v>
      </c>
      <c r="G161" s="49"/>
      <c r="H161" s="49"/>
      <c r="I161" s="49"/>
      <c r="J161" s="49"/>
      <c r="K161" s="48"/>
      <c r="L161" s="48"/>
      <c r="M161" s="48"/>
      <c r="N161" s="48"/>
      <c r="O161" s="48"/>
    </row>
    <row r="162" spans="1:15" x14ac:dyDescent="0.25">
      <c r="A162" s="10" t="s">
        <v>13</v>
      </c>
      <c r="B162" s="86"/>
      <c r="C162" s="86"/>
      <c r="D162" s="58">
        <v>7</v>
      </c>
      <c r="E162" s="86"/>
      <c r="F162" s="86"/>
      <c r="G162" s="49"/>
      <c r="H162" s="49"/>
      <c r="I162" s="49"/>
      <c r="J162" s="49"/>
      <c r="K162" s="48"/>
      <c r="L162" s="48"/>
      <c r="M162" s="48"/>
      <c r="N162" s="48"/>
      <c r="O162" s="48"/>
    </row>
    <row r="163" spans="1:15" x14ac:dyDescent="0.25">
      <c r="A163" s="2" t="s">
        <v>41</v>
      </c>
      <c r="B163" s="86"/>
      <c r="C163" s="86"/>
      <c r="E163" s="86"/>
      <c r="F163" s="58"/>
      <c r="G163" s="49"/>
      <c r="H163" s="49"/>
      <c r="I163" s="49"/>
      <c r="J163" s="49"/>
      <c r="K163" s="48"/>
      <c r="L163" s="48"/>
      <c r="M163" s="48"/>
      <c r="N163" s="48"/>
      <c r="O163" s="48"/>
    </row>
    <row r="164" spans="1:15" x14ac:dyDescent="0.25">
      <c r="A164" s="2" t="s">
        <v>36</v>
      </c>
      <c r="B164" s="58">
        <v>2.1868500000000002</v>
      </c>
      <c r="C164" s="86"/>
      <c r="D164" s="86"/>
      <c r="E164" s="58">
        <v>0.8</v>
      </c>
      <c r="F164" s="86"/>
      <c r="G164" s="49"/>
      <c r="H164" s="49"/>
      <c r="I164" s="49"/>
      <c r="J164" s="49"/>
      <c r="K164" s="48"/>
      <c r="L164" s="48"/>
      <c r="M164" s="48"/>
      <c r="N164" s="48"/>
      <c r="O164" s="48"/>
    </row>
    <row r="165" spans="1:15" x14ac:dyDescent="0.25">
      <c r="A165" s="2" t="s">
        <v>71</v>
      </c>
      <c r="B165" s="58">
        <v>35.234999999999999</v>
      </c>
      <c r="C165" s="58">
        <v>17.328779999999998</v>
      </c>
      <c r="D165" s="86"/>
      <c r="E165" s="86"/>
      <c r="F165" s="86"/>
      <c r="G165" s="49"/>
      <c r="H165" s="49"/>
      <c r="I165" s="49"/>
      <c r="J165" s="49"/>
      <c r="K165" s="48"/>
      <c r="L165" s="48"/>
      <c r="M165" s="48"/>
      <c r="N165" s="48"/>
      <c r="O165" s="48"/>
    </row>
    <row r="166" spans="1:15" s="1" customFormat="1" x14ac:dyDescent="0.25">
      <c r="A166" s="2" t="s">
        <v>54</v>
      </c>
      <c r="B166" s="86"/>
      <c r="C166" s="86"/>
      <c r="D166" s="58">
        <v>2.1120000000000001</v>
      </c>
      <c r="E166" s="86"/>
      <c r="F166" s="86"/>
      <c r="G166" s="49"/>
      <c r="H166" s="49"/>
      <c r="I166" s="49"/>
      <c r="J166" s="49"/>
      <c r="K166" s="48"/>
      <c r="L166" s="48"/>
      <c r="M166" s="48"/>
      <c r="N166" s="48"/>
      <c r="O166" s="48"/>
    </row>
    <row r="167" spans="1:15" x14ac:dyDescent="0.25">
      <c r="A167" s="2" t="s">
        <v>86</v>
      </c>
      <c r="B167" s="86"/>
      <c r="C167" s="86"/>
      <c r="D167" s="86"/>
      <c r="E167" s="86"/>
      <c r="F167" s="58">
        <v>94.914000000000001</v>
      </c>
      <c r="G167" s="49"/>
      <c r="H167" s="49"/>
      <c r="I167" s="49"/>
      <c r="J167" s="49"/>
      <c r="K167" s="48"/>
      <c r="L167" s="48"/>
      <c r="M167" s="48"/>
      <c r="N167" s="48"/>
      <c r="O167" s="48"/>
    </row>
    <row r="168" spans="1:15" x14ac:dyDescent="0.25">
      <c r="A168" s="2" t="s">
        <v>23</v>
      </c>
      <c r="B168" s="58">
        <v>19.696335000000001</v>
      </c>
      <c r="C168" s="86"/>
      <c r="D168" s="58">
        <v>25.806660000000001</v>
      </c>
      <c r="E168" s="86"/>
      <c r="F168" s="86"/>
      <c r="G168" s="49"/>
      <c r="H168" s="49"/>
      <c r="I168" s="49"/>
    </row>
    <row r="169" spans="1:15" x14ac:dyDescent="0.25">
      <c r="A169" s="2" t="s">
        <v>100</v>
      </c>
      <c r="B169" s="86"/>
      <c r="C169" s="58">
        <v>1.125</v>
      </c>
      <c r="D169" s="86"/>
      <c r="E169" s="86"/>
      <c r="F169" s="86"/>
      <c r="G169" s="49"/>
      <c r="H169" s="49"/>
      <c r="I169" s="49"/>
    </row>
    <row r="170" spans="1:15" x14ac:dyDescent="0.25">
      <c r="A170" s="2" t="s">
        <v>35</v>
      </c>
      <c r="B170" s="86"/>
      <c r="C170" s="58">
        <v>1.5014000000000001</v>
      </c>
      <c r="D170" s="86"/>
      <c r="E170" s="86"/>
      <c r="F170" s="86"/>
      <c r="G170" s="49"/>
      <c r="H170" s="49"/>
      <c r="I170" s="49"/>
    </row>
    <row r="171" spans="1:15" x14ac:dyDescent="0.25">
      <c r="A171" s="2" t="s">
        <v>91</v>
      </c>
      <c r="B171" s="86"/>
      <c r="C171" s="58">
        <v>1.5</v>
      </c>
      <c r="D171" s="86"/>
      <c r="E171" s="86"/>
      <c r="F171" s="86"/>
      <c r="G171" s="49"/>
      <c r="H171" s="49"/>
      <c r="I171" s="49"/>
    </row>
    <row r="172" spans="1:15" x14ac:dyDescent="0.25">
      <c r="A172" s="2" t="s">
        <v>66</v>
      </c>
      <c r="B172" s="86"/>
      <c r="C172" s="86"/>
      <c r="D172" s="58">
        <v>1.325</v>
      </c>
      <c r="E172" s="86"/>
      <c r="F172" s="86"/>
      <c r="G172" s="49"/>
      <c r="H172" s="49"/>
      <c r="I172" s="49"/>
    </row>
    <row r="173" spans="1:15" x14ac:dyDescent="0.25">
      <c r="A173" s="2" t="s">
        <v>166</v>
      </c>
      <c r="B173" s="86"/>
      <c r="C173" s="58">
        <v>1.8397399999999999</v>
      </c>
      <c r="D173" s="86"/>
      <c r="E173" s="86"/>
      <c r="F173" s="86"/>
      <c r="G173" s="49"/>
      <c r="H173" s="49"/>
      <c r="I173" s="49"/>
    </row>
    <row r="174" spans="1:15" x14ac:dyDescent="0.25">
      <c r="A174" s="2" t="s">
        <v>40</v>
      </c>
      <c r="B174" s="86"/>
      <c r="C174" s="86"/>
      <c r="D174" s="86"/>
      <c r="E174" s="2"/>
      <c r="F174" s="58">
        <v>39.200000000000003</v>
      </c>
      <c r="G174" s="49"/>
      <c r="H174" s="49"/>
      <c r="I174" s="49"/>
    </row>
    <row r="175" spans="1:15" x14ac:dyDescent="0.25">
      <c r="A175" s="2" t="s">
        <v>48</v>
      </c>
      <c r="B175" s="86"/>
      <c r="C175" s="86"/>
      <c r="D175" s="86"/>
      <c r="F175" s="58">
        <v>9.4682300000000001</v>
      </c>
      <c r="G175" s="49"/>
      <c r="H175" s="49"/>
      <c r="I175" s="49"/>
    </row>
    <row r="176" spans="1:15" x14ac:dyDescent="0.25">
      <c r="A176" s="2" t="s">
        <v>169</v>
      </c>
      <c r="B176" s="86"/>
      <c r="C176" s="86"/>
      <c r="D176" s="86"/>
      <c r="E176" s="86"/>
      <c r="F176" s="58">
        <v>158.328</v>
      </c>
      <c r="G176" s="49"/>
      <c r="H176" s="49"/>
      <c r="I176" s="49"/>
      <c r="J176" s="49"/>
      <c r="K176" s="48"/>
      <c r="L176" s="48"/>
      <c r="M176" s="48"/>
      <c r="N176" s="48"/>
      <c r="O176" s="48"/>
    </row>
    <row r="177" spans="1:15" x14ac:dyDescent="0.25">
      <c r="A177" s="2" t="s">
        <v>170</v>
      </c>
      <c r="B177" s="86"/>
      <c r="C177" s="86"/>
      <c r="D177" s="86"/>
      <c r="E177" s="86"/>
      <c r="F177" s="58">
        <v>445.68599999999998</v>
      </c>
      <c r="G177" s="49"/>
      <c r="H177" s="49"/>
      <c r="I177" s="49"/>
      <c r="J177" s="49"/>
      <c r="K177" s="48"/>
      <c r="L177" s="48"/>
      <c r="M177" s="48"/>
      <c r="N177" s="48"/>
      <c r="O177" s="48"/>
    </row>
    <row r="178" spans="1:15" x14ac:dyDescent="0.25">
      <c r="A178" s="2" t="s">
        <v>171</v>
      </c>
      <c r="B178" s="86"/>
      <c r="C178" s="86"/>
      <c r="D178" s="86"/>
      <c r="E178" s="86"/>
      <c r="F178" s="58">
        <f>4.425+3.891+2.138</f>
        <v>10.453999999999999</v>
      </c>
      <c r="G178" s="49"/>
      <c r="H178" s="49"/>
      <c r="I178" s="49"/>
      <c r="J178" s="49"/>
      <c r="K178" s="48"/>
      <c r="L178" s="48"/>
      <c r="M178" s="48"/>
      <c r="N178" s="48"/>
      <c r="O178" s="48"/>
    </row>
    <row r="179" spans="1:15" hidden="1" x14ac:dyDescent="0.25">
      <c r="A179" s="2" t="s">
        <v>45</v>
      </c>
      <c r="B179" s="86"/>
      <c r="C179" s="86"/>
      <c r="D179" s="86"/>
      <c r="E179" s="86"/>
      <c r="F179" s="86"/>
      <c r="G179" s="49"/>
      <c r="H179" s="49"/>
      <c r="I179" s="49"/>
      <c r="J179" s="49"/>
      <c r="K179" s="48"/>
      <c r="L179" s="48"/>
      <c r="M179" s="48"/>
      <c r="N179" s="48"/>
      <c r="O179" s="48"/>
    </row>
    <row r="180" spans="1:15" hidden="1" x14ac:dyDescent="0.25">
      <c r="A180" s="2" t="s">
        <v>56</v>
      </c>
      <c r="B180" s="86"/>
      <c r="C180" s="86"/>
      <c r="D180" s="86"/>
      <c r="E180" s="86"/>
      <c r="F180" s="86"/>
      <c r="G180" s="49"/>
      <c r="H180" s="49"/>
      <c r="I180" s="49"/>
      <c r="J180" s="49"/>
      <c r="K180" s="48"/>
      <c r="L180" s="48"/>
      <c r="M180" s="48"/>
      <c r="N180" s="48"/>
      <c r="O180" s="48"/>
    </row>
    <row r="181" spans="1:15" hidden="1" x14ac:dyDescent="0.25">
      <c r="A181" s="2" t="s">
        <v>53</v>
      </c>
      <c r="B181" s="86"/>
      <c r="C181" s="86"/>
      <c r="D181" s="86"/>
      <c r="E181" s="86"/>
      <c r="F181" s="86"/>
      <c r="G181" s="64"/>
      <c r="H181" s="64"/>
      <c r="I181" s="64"/>
      <c r="J181" s="49"/>
      <c r="K181" s="48"/>
      <c r="L181" s="48"/>
      <c r="M181" s="48"/>
      <c r="N181" s="48"/>
      <c r="O181" s="48"/>
    </row>
    <row r="182" spans="1:15" hidden="1" x14ac:dyDescent="0.25">
      <c r="A182" s="2" t="s">
        <v>79</v>
      </c>
      <c r="B182" s="86"/>
      <c r="C182" s="86"/>
      <c r="D182" s="86"/>
      <c r="E182" s="86"/>
      <c r="F182" s="86"/>
      <c r="G182" s="49"/>
      <c r="H182" s="49"/>
      <c r="I182" s="49"/>
      <c r="J182" s="49"/>
      <c r="K182" s="48"/>
      <c r="L182" s="48"/>
      <c r="M182" s="48"/>
      <c r="N182" s="48"/>
      <c r="O182" s="48"/>
    </row>
    <row r="183" spans="1:15" s="1" customFormat="1" hidden="1" x14ac:dyDescent="0.25">
      <c r="A183" s="2" t="s">
        <v>110</v>
      </c>
      <c r="B183" s="86"/>
      <c r="C183" s="86"/>
      <c r="D183" s="86"/>
      <c r="E183" s="86"/>
      <c r="F183" s="86"/>
      <c r="G183" s="49"/>
      <c r="H183" s="49"/>
      <c r="I183" s="49"/>
      <c r="J183" s="49"/>
      <c r="K183" s="48"/>
      <c r="L183" s="48"/>
      <c r="M183" s="48"/>
      <c r="N183" s="48"/>
      <c r="O183" s="48"/>
    </row>
    <row r="184" spans="1:15" s="1" customFormat="1" hidden="1" x14ac:dyDescent="0.25">
      <c r="A184" s="2" t="s">
        <v>93</v>
      </c>
      <c r="B184" s="86"/>
      <c r="C184" s="86"/>
      <c r="D184" s="86"/>
      <c r="E184" s="86"/>
      <c r="F184" s="86"/>
      <c r="G184" s="49"/>
      <c r="H184" s="49"/>
      <c r="I184" s="49"/>
      <c r="J184" s="49"/>
      <c r="K184" s="48"/>
      <c r="L184" s="48"/>
      <c r="M184" s="48"/>
      <c r="N184" s="48"/>
      <c r="O184" s="48"/>
    </row>
    <row r="185" spans="1:15" hidden="1" x14ac:dyDescent="0.25">
      <c r="A185" s="2" t="s">
        <v>85</v>
      </c>
      <c r="B185" s="86"/>
      <c r="C185" s="86"/>
      <c r="D185" s="86"/>
      <c r="E185" s="86"/>
      <c r="F185" s="86"/>
      <c r="G185" s="49"/>
      <c r="H185" s="49"/>
      <c r="I185" s="49"/>
      <c r="J185" s="49"/>
      <c r="K185" s="48"/>
      <c r="L185" s="48"/>
      <c r="M185" s="48"/>
      <c r="N185" s="48"/>
      <c r="O185" s="48"/>
    </row>
    <row r="186" spans="1:15" hidden="1" x14ac:dyDescent="0.25">
      <c r="A186" s="10" t="s">
        <v>14</v>
      </c>
      <c r="B186" s="86"/>
      <c r="C186" s="86"/>
      <c r="D186" s="86"/>
      <c r="E186" s="86"/>
      <c r="F186" s="86"/>
      <c r="G186" s="49"/>
      <c r="H186" s="49"/>
      <c r="I186" s="49"/>
    </row>
    <row r="187" spans="1:15" hidden="1" x14ac:dyDescent="0.25">
      <c r="A187" s="2" t="s">
        <v>38</v>
      </c>
      <c r="B187" s="86"/>
      <c r="C187" s="86"/>
      <c r="D187" s="86"/>
      <c r="E187" s="86"/>
      <c r="F187" s="86"/>
      <c r="G187" s="49"/>
      <c r="H187" s="49"/>
      <c r="I187" s="49"/>
    </row>
    <row r="188" spans="1:15" hidden="1" x14ac:dyDescent="0.25">
      <c r="A188" s="2" t="s">
        <v>63</v>
      </c>
      <c r="B188" s="86"/>
      <c r="C188" s="86"/>
      <c r="D188" s="86"/>
      <c r="E188" s="86"/>
      <c r="F188" s="86"/>
      <c r="G188" s="49"/>
      <c r="H188" s="49"/>
      <c r="I188" s="49"/>
    </row>
    <row r="189" spans="1:15" hidden="1" x14ac:dyDescent="0.25">
      <c r="A189" s="2" t="s">
        <v>77</v>
      </c>
      <c r="B189" s="86"/>
      <c r="C189" s="86"/>
      <c r="D189" s="86"/>
      <c r="E189" s="86"/>
      <c r="F189" s="86"/>
      <c r="G189" s="49"/>
      <c r="H189" s="49"/>
      <c r="I189" s="49"/>
    </row>
    <row r="190" spans="1:15" hidden="1" x14ac:dyDescent="0.25">
      <c r="A190" s="10" t="s">
        <v>102</v>
      </c>
      <c r="B190" s="86"/>
      <c r="C190" s="86"/>
      <c r="D190" s="86"/>
      <c r="E190" s="86"/>
      <c r="F190" s="86"/>
      <c r="G190" s="49"/>
      <c r="H190" s="49"/>
      <c r="I190" s="49"/>
    </row>
    <row r="191" spans="1:15" hidden="1" x14ac:dyDescent="0.25">
      <c r="A191" s="2" t="s">
        <v>101</v>
      </c>
      <c r="B191" s="86"/>
      <c r="C191" s="86"/>
      <c r="D191" s="86"/>
      <c r="E191" s="86"/>
      <c r="F191" s="86"/>
      <c r="G191" s="49"/>
      <c r="H191" s="49"/>
      <c r="I191" s="49"/>
    </row>
    <row r="192" spans="1:15" hidden="1" x14ac:dyDescent="0.25">
      <c r="A192" s="10" t="s">
        <v>11</v>
      </c>
      <c r="B192" s="86"/>
      <c r="C192" s="86"/>
      <c r="D192" s="86"/>
      <c r="E192" s="86"/>
      <c r="F192" s="86"/>
      <c r="G192" s="49"/>
      <c r="H192" s="49"/>
      <c r="I192" s="49"/>
    </row>
    <row r="193" spans="1:9" hidden="1" x14ac:dyDescent="0.25">
      <c r="A193" s="10" t="s">
        <v>95</v>
      </c>
      <c r="B193" s="86"/>
      <c r="C193" s="86"/>
      <c r="D193" s="86"/>
      <c r="E193" s="86"/>
      <c r="F193" s="86"/>
      <c r="G193" s="49"/>
      <c r="H193" s="49"/>
      <c r="I193" s="49"/>
    </row>
    <row r="194" spans="1:9" hidden="1" x14ac:dyDescent="0.25">
      <c r="A194" s="2" t="s">
        <v>92</v>
      </c>
      <c r="B194" s="86"/>
      <c r="C194" s="86"/>
      <c r="D194" s="86"/>
      <c r="E194" s="86"/>
      <c r="F194" s="86"/>
      <c r="G194" s="49"/>
      <c r="H194" s="49"/>
      <c r="I194" s="49"/>
    </row>
    <row r="195" spans="1:9" hidden="1" x14ac:dyDescent="0.25">
      <c r="A195" s="2" t="s">
        <v>21</v>
      </c>
      <c r="B195" s="86"/>
      <c r="C195" s="86"/>
      <c r="D195" s="86"/>
      <c r="E195" s="86"/>
      <c r="F195" s="86"/>
      <c r="G195" s="49"/>
      <c r="H195" s="49"/>
      <c r="I195" s="49"/>
    </row>
    <row r="196" spans="1:9" hidden="1" x14ac:dyDescent="0.25">
      <c r="A196" s="2" t="s">
        <v>89</v>
      </c>
      <c r="B196" s="86"/>
      <c r="C196" s="86"/>
      <c r="D196" s="86"/>
      <c r="E196" s="86"/>
      <c r="F196" s="86"/>
      <c r="G196" s="49"/>
      <c r="H196" s="49"/>
      <c r="I196" s="49"/>
    </row>
    <row r="197" spans="1:9" hidden="1" x14ac:dyDescent="0.25">
      <c r="A197" s="2" t="s">
        <v>90</v>
      </c>
      <c r="B197" s="86"/>
      <c r="C197" s="86"/>
      <c r="D197" s="86"/>
      <c r="E197" s="86"/>
      <c r="F197" s="86"/>
      <c r="G197" s="49"/>
      <c r="H197" s="49"/>
      <c r="I197" s="49"/>
    </row>
    <row r="198" spans="1:9" hidden="1" x14ac:dyDescent="0.25">
      <c r="A198" s="2" t="s">
        <v>87</v>
      </c>
      <c r="B198" s="86"/>
      <c r="C198" s="86"/>
      <c r="D198" s="86"/>
      <c r="E198" s="86"/>
      <c r="F198" s="86"/>
      <c r="G198" s="49"/>
      <c r="H198" s="49"/>
      <c r="I198" s="49"/>
    </row>
    <row r="199" spans="1:9" hidden="1" x14ac:dyDescent="0.25">
      <c r="A199" s="2" t="s">
        <v>82</v>
      </c>
      <c r="B199" s="86"/>
      <c r="C199" s="86"/>
      <c r="D199" s="86"/>
      <c r="E199" s="86"/>
      <c r="F199" s="86"/>
      <c r="G199" s="49"/>
      <c r="H199" s="49"/>
      <c r="I199" s="49"/>
    </row>
    <row r="200" spans="1:9" hidden="1" x14ac:dyDescent="0.25">
      <c r="A200" s="2" t="s">
        <v>83</v>
      </c>
      <c r="B200" s="86"/>
      <c r="C200" s="86"/>
      <c r="D200" s="86"/>
      <c r="E200" s="86"/>
      <c r="F200" s="86"/>
      <c r="G200" s="49"/>
      <c r="H200" s="49"/>
      <c r="I200" s="49"/>
    </row>
    <row r="201" spans="1:9" hidden="1" x14ac:dyDescent="0.25">
      <c r="A201" s="2" t="s">
        <v>46</v>
      </c>
      <c r="B201" s="86"/>
      <c r="C201" s="86"/>
      <c r="D201" s="86"/>
      <c r="E201" s="86"/>
      <c r="F201" s="86"/>
      <c r="G201" s="49"/>
      <c r="H201" s="49"/>
      <c r="I201" s="49"/>
    </row>
    <row r="202" spans="1:9" hidden="1" x14ac:dyDescent="0.25">
      <c r="A202" s="2" t="s">
        <v>84</v>
      </c>
      <c r="B202" s="86"/>
      <c r="C202" s="86"/>
      <c r="D202" s="86"/>
      <c r="E202" s="86"/>
      <c r="F202" s="86"/>
      <c r="G202" s="49"/>
      <c r="H202" s="49"/>
      <c r="I202" s="49"/>
    </row>
    <row r="203" spans="1:9" hidden="1" x14ac:dyDescent="0.25">
      <c r="A203" s="2" t="s">
        <v>58</v>
      </c>
      <c r="B203" s="86"/>
      <c r="C203" s="86"/>
      <c r="D203" s="86"/>
      <c r="E203" s="86"/>
      <c r="F203" s="86"/>
      <c r="G203" s="49"/>
      <c r="H203" s="49"/>
      <c r="I203" s="49"/>
    </row>
    <row r="204" spans="1:9" hidden="1" x14ac:dyDescent="0.25">
      <c r="A204" s="2" t="s">
        <v>78</v>
      </c>
      <c r="B204" s="86"/>
      <c r="C204" s="86"/>
      <c r="D204" s="86"/>
      <c r="E204" s="86"/>
      <c r="F204" s="86"/>
      <c r="G204" s="49"/>
      <c r="H204" s="49"/>
      <c r="I204" s="49"/>
    </row>
    <row r="205" spans="1:9" hidden="1" x14ac:dyDescent="0.25">
      <c r="A205" s="2" t="s">
        <v>37</v>
      </c>
      <c r="B205" s="86"/>
      <c r="C205" s="86"/>
      <c r="D205" s="86"/>
      <c r="E205" s="86"/>
      <c r="F205" s="86"/>
      <c r="G205" s="49"/>
      <c r="H205" s="49"/>
      <c r="I205" s="49"/>
    </row>
    <row r="206" spans="1:9" hidden="1" x14ac:dyDescent="0.25">
      <c r="A206" s="2" t="s">
        <v>75</v>
      </c>
      <c r="B206" s="86"/>
      <c r="C206" s="86"/>
      <c r="D206" s="86"/>
      <c r="E206" s="86"/>
      <c r="F206" s="86"/>
      <c r="G206" s="49"/>
      <c r="H206" s="49"/>
      <c r="I206" s="49"/>
    </row>
    <row r="207" spans="1:9" hidden="1" x14ac:dyDescent="0.25">
      <c r="A207" s="2" t="s">
        <v>18</v>
      </c>
      <c r="B207" s="86"/>
      <c r="C207" s="86"/>
      <c r="D207" s="86"/>
      <c r="E207" s="86"/>
      <c r="F207" s="86"/>
      <c r="G207" s="49"/>
      <c r="H207" s="49"/>
      <c r="I207" s="49"/>
    </row>
    <row r="208" spans="1:9" hidden="1" x14ac:dyDescent="0.25">
      <c r="A208" s="2" t="s">
        <v>51</v>
      </c>
      <c r="B208" s="86"/>
      <c r="C208" s="86"/>
      <c r="D208" s="86"/>
      <c r="E208" s="86"/>
      <c r="F208" s="86"/>
      <c r="G208" s="49"/>
      <c r="H208" s="49"/>
      <c r="I208" s="49"/>
    </row>
    <row r="209" spans="1:9" hidden="1" x14ac:dyDescent="0.25">
      <c r="A209" s="2" t="s">
        <v>72</v>
      </c>
      <c r="B209" s="86"/>
      <c r="C209" s="86"/>
      <c r="D209" s="86"/>
      <c r="E209" s="86"/>
      <c r="F209" s="86"/>
      <c r="G209" s="49"/>
      <c r="H209" s="49"/>
      <c r="I209" s="49"/>
    </row>
    <row r="210" spans="1:9" hidden="1" x14ac:dyDescent="0.25">
      <c r="A210" s="2" t="s">
        <v>69</v>
      </c>
      <c r="B210" s="86"/>
      <c r="C210" s="86"/>
      <c r="D210" s="86"/>
      <c r="E210" s="86"/>
      <c r="F210" s="86"/>
      <c r="G210" s="49"/>
      <c r="H210" s="49"/>
      <c r="I210" s="49"/>
    </row>
    <row r="211" spans="1:9" hidden="1" x14ac:dyDescent="0.25">
      <c r="A211" s="2" t="s">
        <v>67</v>
      </c>
      <c r="B211" s="86"/>
      <c r="C211" s="86"/>
      <c r="D211" s="86"/>
      <c r="E211" s="86"/>
      <c r="F211" s="86"/>
      <c r="G211" s="49"/>
      <c r="H211" s="49"/>
      <c r="I211" s="49"/>
    </row>
    <row r="212" spans="1:9" hidden="1" x14ac:dyDescent="0.25">
      <c r="A212" s="2" t="s">
        <v>70</v>
      </c>
      <c r="B212" s="86"/>
      <c r="C212" s="86"/>
      <c r="D212" s="86"/>
      <c r="E212" s="86"/>
      <c r="F212" s="86"/>
      <c r="G212" s="49"/>
      <c r="H212" s="49"/>
      <c r="I212" s="49"/>
    </row>
    <row r="213" spans="1:9" hidden="1" x14ac:dyDescent="0.25">
      <c r="A213" s="10" t="s">
        <v>65</v>
      </c>
      <c r="B213" s="86"/>
      <c r="C213" s="86"/>
      <c r="D213" s="86"/>
      <c r="E213" s="86"/>
      <c r="F213" s="86"/>
      <c r="G213" s="49"/>
      <c r="H213" s="49"/>
      <c r="I213" s="49"/>
    </row>
    <row r="214" spans="1:9" hidden="1" x14ac:dyDescent="0.25">
      <c r="A214" s="2" t="s">
        <v>47</v>
      </c>
      <c r="B214" s="86"/>
      <c r="C214" s="86"/>
      <c r="D214" s="86"/>
      <c r="E214" s="86"/>
      <c r="F214" s="86"/>
      <c r="G214" s="49"/>
      <c r="H214" s="49"/>
      <c r="I214" s="49"/>
    </row>
    <row r="215" spans="1:9" hidden="1" x14ac:dyDescent="0.25">
      <c r="A215" s="2" t="s">
        <v>64</v>
      </c>
      <c r="B215" s="86"/>
      <c r="C215" s="86"/>
      <c r="D215" s="86"/>
      <c r="E215" s="86"/>
      <c r="F215" s="86"/>
      <c r="G215" s="49"/>
      <c r="H215" s="49"/>
      <c r="I215" s="49"/>
    </row>
    <row r="216" spans="1:9" hidden="1" x14ac:dyDescent="0.25">
      <c r="A216" s="9" t="s">
        <v>27</v>
      </c>
      <c r="B216" s="86"/>
      <c r="C216" s="86"/>
      <c r="D216" s="86"/>
      <c r="E216" s="86"/>
      <c r="F216" s="86"/>
      <c r="G216" s="49"/>
      <c r="H216" s="49"/>
      <c r="I216" s="49"/>
    </row>
    <row r="217" spans="1:9" hidden="1" x14ac:dyDescent="0.25">
      <c r="A217" s="2" t="s">
        <v>19</v>
      </c>
      <c r="B217" s="86"/>
      <c r="C217" s="86"/>
      <c r="D217" s="86"/>
      <c r="E217" s="86"/>
      <c r="F217" s="86"/>
      <c r="G217" s="49"/>
      <c r="H217" s="49"/>
      <c r="I217" s="49"/>
    </row>
    <row r="218" spans="1:9" hidden="1" x14ac:dyDescent="0.25">
      <c r="A218" s="2" t="s">
        <v>20</v>
      </c>
      <c r="B218" s="86"/>
      <c r="C218" s="86"/>
      <c r="D218" s="86"/>
      <c r="E218" s="86"/>
      <c r="F218" s="86"/>
      <c r="G218" s="49"/>
      <c r="H218" s="49"/>
      <c r="I218" s="49"/>
    </row>
    <row r="219" spans="1:9" hidden="1" x14ac:dyDescent="0.25">
      <c r="A219" s="2" t="s">
        <v>31</v>
      </c>
      <c r="B219" s="86"/>
      <c r="C219" s="86"/>
      <c r="D219" s="86"/>
      <c r="E219" s="86"/>
      <c r="F219" s="86"/>
      <c r="G219" s="49"/>
      <c r="H219" s="49"/>
      <c r="I219" s="49"/>
    </row>
    <row r="220" spans="1:9" hidden="1" x14ac:dyDescent="0.25">
      <c r="A220" s="2" t="s">
        <v>44</v>
      </c>
      <c r="B220" s="86"/>
      <c r="C220" s="86"/>
      <c r="D220" s="86"/>
      <c r="E220" s="86"/>
      <c r="F220" s="86"/>
      <c r="G220" s="49"/>
      <c r="H220" s="49"/>
      <c r="I220" s="49"/>
    </row>
    <row r="221" spans="1:9" hidden="1" x14ac:dyDescent="0.25">
      <c r="A221" s="2" t="s">
        <v>49</v>
      </c>
      <c r="B221" s="86"/>
      <c r="C221" s="86"/>
      <c r="D221" s="86"/>
      <c r="E221" s="86"/>
      <c r="F221" s="86"/>
      <c r="G221" s="49"/>
      <c r="H221" s="49"/>
      <c r="I221" s="49"/>
    </row>
    <row r="222" spans="1:9" hidden="1" x14ac:dyDescent="0.25">
      <c r="A222" s="2" t="s">
        <v>50</v>
      </c>
      <c r="B222" s="86"/>
      <c r="C222" s="86"/>
      <c r="D222" s="86"/>
      <c r="E222" s="86"/>
      <c r="F222" s="86"/>
      <c r="G222" s="49"/>
      <c r="H222" s="49"/>
      <c r="I222" s="49"/>
    </row>
    <row r="223" spans="1:9" hidden="1" x14ac:dyDescent="0.25">
      <c r="A223" s="2" t="s">
        <v>55</v>
      </c>
      <c r="B223" s="86"/>
      <c r="C223" s="86"/>
      <c r="D223" s="86"/>
      <c r="E223" s="86"/>
      <c r="F223" s="86"/>
      <c r="G223" s="49"/>
      <c r="H223" s="49"/>
      <c r="I223" s="49"/>
    </row>
    <row r="224" spans="1:9" hidden="1" x14ac:dyDescent="0.25">
      <c r="A224" s="2" t="s">
        <v>57</v>
      </c>
      <c r="B224" s="86"/>
      <c r="C224" s="86"/>
      <c r="D224" s="86"/>
      <c r="E224" s="86"/>
      <c r="F224" s="86"/>
      <c r="G224" s="49"/>
      <c r="H224" s="49"/>
      <c r="I224" s="49"/>
    </row>
    <row r="225" spans="1:15" hidden="1" x14ac:dyDescent="0.25">
      <c r="A225" s="2" t="s">
        <v>60</v>
      </c>
      <c r="B225" s="86"/>
      <c r="C225" s="86"/>
      <c r="D225" s="86"/>
      <c r="E225" s="86"/>
      <c r="F225" s="86"/>
      <c r="G225" s="49"/>
      <c r="H225" s="49"/>
      <c r="I225" s="49"/>
    </row>
    <row r="226" spans="1:15" x14ac:dyDescent="0.25">
      <c r="A226" s="2" t="s">
        <v>183</v>
      </c>
      <c r="B226" s="86"/>
      <c r="C226" s="86"/>
      <c r="D226" s="86"/>
      <c r="E226" s="86"/>
      <c r="F226" s="58">
        <v>8.9081100000000006</v>
      </c>
      <c r="G226" s="49"/>
      <c r="H226" s="49"/>
      <c r="I226" s="49"/>
    </row>
    <row r="227" spans="1:15" x14ac:dyDescent="0.25">
      <c r="A227" s="2" t="s">
        <v>61</v>
      </c>
      <c r="B227" s="86"/>
      <c r="C227" s="86"/>
      <c r="D227" s="86"/>
      <c r="E227" s="86"/>
      <c r="F227" s="86"/>
      <c r="G227" s="49"/>
      <c r="H227" s="49"/>
      <c r="I227" s="49"/>
    </row>
    <row r="228" spans="1:15" x14ac:dyDescent="0.25">
      <c r="A228" s="2"/>
      <c r="B228" s="14"/>
      <c r="C228" s="14"/>
      <c r="D228" s="14"/>
      <c r="E228" s="14"/>
      <c r="F228" s="14"/>
      <c r="G228" s="63"/>
      <c r="H228" s="63"/>
      <c r="I228" s="63"/>
    </row>
    <row r="229" spans="1:15" ht="15.75" thickBot="1" x14ac:dyDescent="0.3">
      <c r="A229" s="7" t="s">
        <v>16</v>
      </c>
      <c r="B229" s="8">
        <f>SUM(B128:B228)</f>
        <v>540.14075000000003</v>
      </c>
      <c r="C229" s="8">
        <f>SUM(C128:C228)</f>
        <v>355.29325</v>
      </c>
      <c r="D229" s="8">
        <f>SUM(D128:D228)</f>
        <v>442.15267</v>
      </c>
      <c r="E229" s="8">
        <f>SUM(E128:E228)</f>
        <v>278.529</v>
      </c>
      <c r="F229" s="8">
        <f>SUM(F128:F228)</f>
        <v>1032.5662150000001</v>
      </c>
      <c r="G229" s="49"/>
      <c r="H229" s="49"/>
      <c r="I229" s="49"/>
    </row>
    <row r="230" spans="1:15" ht="15.75" thickBot="1" x14ac:dyDescent="0.3">
      <c r="A230" s="2"/>
      <c r="B230" s="2"/>
      <c r="C230" s="2"/>
      <c r="D230" s="2"/>
      <c r="E230" s="2"/>
      <c r="F230" s="2"/>
      <c r="G230" s="1"/>
      <c r="J230" s="21" t="s">
        <v>116</v>
      </c>
      <c r="K230" s="23" t="s">
        <v>115</v>
      </c>
      <c r="L230" s="23">
        <v>2016</v>
      </c>
      <c r="M230" s="22">
        <v>2017</v>
      </c>
      <c r="N230" s="28" t="s">
        <v>154</v>
      </c>
      <c r="O230" s="29" t="s">
        <v>153</v>
      </c>
    </row>
    <row r="231" spans="1:15" x14ac:dyDescent="0.25">
      <c r="A231" s="11" t="s">
        <v>17</v>
      </c>
      <c r="B231" s="12">
        <f>B110+B126-B229</f>
        <v>654.62679500000013</v>
      </c>
      <c r="C231" s="12">
        <f>C110+C126-C229</f>
        <v>345.73954500000008</v>
      </c>
      <c r="D231" s="12">
        <f>D110+D126-D229</f>
        <v>486.03104642857164</v>
      </c>
      <c r="E231" s="12">
        <f>E110+E126-E229</f>
        <v>344.50704642857158</v>
      </c>
      <c r="F231" s="12">
        <f>F110+F126-F229</f>
        <v>658.84640742857164</v>
      </c>
      <c r="J231" s="19" t="s">
        <v>113</v>
      </c>
      <c r="K231" s="24">
        <f>B129</f>
        <v>75</v>
      </c>
      <c r="L231" s="24">
        <f>SUM(B136,D136,B137,B146,B148,F148,B151,F151,B161,F161)</f>
        <v>312.96319500000004</v>
      </c>
      <c r="M231" s="25">
        <f>SUM(B130,C130,F130,E132,E133,D134,B135,C135,D135,E135,F135,D137,F137,D139,E139,F140,B141,B142,F142,B143,D143,F143,E144,E145,F146,C149,C150,B150,C152,C154,D154,F155,C156,C157,C158,D159,D160,D162,F163,B164,B165,C165,D166,F167,B168,D168,C169,C170,C171,D172,C173,F174,F175,F176,F177,F178,F149,F136,C161,B131)</f>
        <v>2250.2459900000003</v>
      </c>
      <c r="N231" s="24">
        <f>SUM(K231:M231)</f>
        <v>2638.2091850000006</v>
      </c>
      <c r="O231" s="24">
        <f>SUM(L231:M231)</f>
        <v>2563.2091850000006</v>
      </c>
    </row>
    <row r="232" spans="1:15" ht="15.75" thickBot="1" x14ac:dyDescent="0.3">
      <c r="A232" s="4" t="s">
        <v>26</v>
      </c>
      <c r="B232" s="5">
        <f>B231/0.0042</f>
        <v>155863.52261904767</v>
      </c>
      <c r="C232" s="5">
        <f>C231/0.0042</f>
        <v>82318.93928571431</v>
      </c>
      <c r="D232" s="5">
        <f>D231/0.0042</f>
        <v>115721.67772108849</v>
      </c>
      <c r="E232" s="5">
        <f>E231/0.0042</f>
        <v>82025.487244898002</v>
      </c>
      <c r="F232" s="5">
        <f>F231/0.0042</f>
        <v>156868.19224489803</v>
      </c>
      <c r="J232" s="20" t="s">
        <v>114</v>
      </c>
      <c r="K232" s="26">
        <f>K231/4</f>
        <v>18.75</v>
      </c>
      <c r="L232" s="26">
        <f>L231/4</f>
        <v>78.24079875000001</v>
      </c>
      <c r="M232" s="27">
        <f>M231/4</f>
        <v>562.56149750000009</v>
      </c>
      <c r="N232" s="26">
        <f>SUM(K232:M232)</f>
        <v>659.55229625000015</v>
      </c>
      <c r="O232" s="26">
        <f>SUM(L232:M232)</f>
        <v>640.80229625000015</v>
      </c>
    </row>
    <row r="234" spans="1:15" x14ac:dyDescent="0.25">
      <c r="C234" s="92"/>
      <c r="E234" s="92"/>
    </row>
  </sheetData>
  <mergeCells count="1">
    <mergeCell ref="B6:D6"/>
  </mergeCells>
  <pageMargins left="0.35433070866141736" right="0.27559055118110237" top="0.74803149606299213" bottom="0.74803149606299213" header="0.31496062992125984" footer="0.31496062992125984"/>
  <pageSetup paperSize="9" scale="64" orientation="portrait" horizontalDpi="4294967293" verticalDpi="4294967293" r:id="rId1"/>
  <rowBreaks count="1" manualBreakCount="1">
    <brk id="106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18"/>
  <sheetViews>
    <sheetView workbookViewId="0">
      <selection activeCell="M26" sqref="M26"/>
    </sheetView>
  </sheetViews>
  <sheetFormatPr defaultRowHeight="18.75" x14ac:dyDescent="0.3"/>
  <cols>
    <col min="1" max="1" width="45.5703125" style="128" bestFit="1" customWidth="1"/>
    <col min="2" max="2" width="20.5703125" style="134" bestFit="1" customWidth="1"/>
    <col min="3" max="6" width="9.140625" style="129"/>
    <col min="7" max="16384" width="9.140625" style="128"/>
  </cols>
  <sheetData>
    <row r="1" spans="1:6" s="132" customFormat="1" ht="19.5" x14ac:dyDescent="0.35">
      <c r="A1" s="135" t="s">
        <v>395</v>
      </c>
      <c r="B1" s="136"/>
      <c r="C1" s="137"/>
      <c r="D1" s="133"/>
      <c r="E1" s="133"/>
      <c r="F1" s="133"/>
    </row>
    <row r="2" spans="1:6" ht="24" x14ac:dyDescent="0.65">
      <c r="A2" s="138"/>
      <c r="B2" s="139" t="s">
        <v>113</v>
      </c>
      <c r="C2" s="140"/>
    </row>
    <row r="3" spans="1:6" x14ac:dyDescent="0.3">
      <c r="A3" s="138" t="s">
        <v>369</v>
      </c>
      <c r="B3" s="141">
        <v>69400</v>
      </c>
      <c r="C3" s="140"/>
    </row>
    <row r="4" spans="1:6" x14ac:dyDescent="0.3">
      <c r="A4" s="138"/>
      <c r="B4" s="141"/>
      <c r="C4" s="140"/>
    </row>
    <row r="5" spans="1:6" x14ac:dyDescent="0.3">
      <c r="A5" s="138" t="s">
        <v>370</v>
      </c>
      <c r="B5" s="141">
        <v>44410</v>
      </c>
      <c r="C5" s="140"/>
    </row>
    <row r="6" spans="1:6" x14ac:dyDescent="0.3">
      <c r="A6" s="138"/>
      <c r="B6" s="141"/>
      <c r="C6" s="140"/>
    </row>
    <row r="7" spans="1:6" x14ac:dyDescent="0.3">
      <c r="A7" s="138" t="s">
        <v>373</v>
      </c>
      <c r="B7" s="141">
        <v>9000</v>
      </c>
      <c r="C7" s="140"/>
    </row>
    <row r="8" spans="1:6" x14ac:dyDescent="0.3">
      <c r="A8" s="138"/>
      <c r="B8" s="141"/>
      <c r="C8" s="140"/>
    </row>
    <row r="9" spans="1:6" x14ac:dyDescent="0.3">
      <c r="A9" s="138" t="s">
        <v>372</v>
      </c>
      <c r="B9" s="141">
        <v>128500</v>
      </c>
      <c r="C9" s="140"/>
    </row>
    <row r="10" spans="1:6" x14ac:dyDescent="0.3">
      <c r="A10" s="138"/>
      <c r="B10" s="141"/>
      <c r="C10" s="140"/>
    </row>
    <row r="11" spans="1:6" ht="37.5" x14ac:dyDescent="0.3">
      <c r="A11" s="146" t="s">
        <v>375</v>
      </c>
      <c r="B11" s="141">
        <v>4200</v>
      </c>
      <c r="C11" s="140"/>
    </row>
    <row r="12" spans="1:6" x14ac:dyDescent="0.3">
      <c r="A12" s="138"/>
      <c r="B12" s="141"/>
      <c r="C12" s="140"/>
    </row>
    <row r="13" spans="1:6" x14ac:dyDescent="0.3">
      <c r="A13" s="138"/>
      <c r="B13" s="141"/>
      <c r="C13" s="140"/>
    </row>
    <row r="14" spans="1:6" s="130" customFormat="1" ht="19.5" x14ac:dyDescent="0.35">
      <c r="A14" s="142" t="s">
        <v>371</v>
      </c>
      <c r="B14" s="143">
        <f>SUM(B3:B13)</f>
        <v>255510</v>
      </c>
      <c r="C14" s="144"/>
      <c r="D14" s="131"/>
      <c r="E14" s="131"/>
      <c r="F14" s="131"/>
    </row>
    <row r="15" spans="1:6" x14ac:dyDescent="0.3">
      <c r="A15" s="138"/>
      <c r="B15" s="141"/>
      <c r="C15" s="140"/>
    </row>
    <row r="16" spans="1:6" x14ac:dyDescent="0.3">
      <c r="A16" s="138"/>
      <c r="B16" s="141"/>
      <c r="C16" s="140"/>
    </row>
    <row r="17" spans="1:3" x14ac:dyDescent="0.3">
      <c r="A17" s="138"/>
      <c r="B17" s="141"/>
      <c r="C17" s="140"/>
    </row>
    <row r="18" spans="1:3" x14ac:dyDescent="0.3">
      <c r="A18" s="138"/>
      <c r="B18" s="141"/>
      <c r="C18" s="140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18"/>
  <sheetViews>
    <sheetView workbookViewId="0">
      <selection activeCell="I24" sqref="I24"/>
    </sheetView>
  </sheetViews>
  <sheetFormatPr defaultRowHeight="18.75" x14ac:dyDescent="0.3"/>
  <cols>
    <col min="1" max="1" width="45.5703125" style="128" bestFit="1" customWidth="1"/>
    <col min="2" max="2" width="20.5703125" style="134" bestFit="1" customWidth="1"/>
    <col min="3" max="6" width="9.140625" style="129"/>
    <col min="7" max="16384" width="9.140625" style="128"/>
  </cols>
  <sheetData>
    <row r="1" spans="1:6" s="132" customFormat="1" ht="19.5" x14ac:dyDescent="0.35">
      <c r="A1" s="135" t="s">
        <v>396</v>
      </c>
      <c r="B1" s="136"/>
      <c r="C1" s="137"/>
      <c r="D1" s="133"/>
      <c r="E1" s="133"/>
      <c r="F1" s="133"/>
    </row>
    <row r="2" spans="1:6" ht="24" x14ac:dyDescent="0.65">
      <c r="A2" s="138"/>
      <c r="B2" s="139" t="s">
        <v>113</v>
      </c>
      <c r="C2" s="140"/>
    </row>
    <row r="3" spans="1:6" x14ac:dyDescent="0.3">
      <c r="A3" s="138" t="s">
        <v>369</v>
      </c>
      <c r="B3" s="141">
        <v>69400</v>
      </c>
      <c r="C3" s="140"/>
    </row>
    <row r="4" spans="1:6" x14ac:dyDescent="0.3">
      <c r="A4" s="138"/>
      <c r="B4" s="141"/>
      <c r="C4" s="140"/>
    </row>
    <row r="5" spans="1:6" x14ac:dyDescent="0.3">
      <c r="A5" s="138" t="s">
        <v>370</v>
      </c>
      <c r="B5" s="141">
        <v>44410</v>
      </c>
      <c r="C5" s="140"/>
    </row>
    <row r="6" spans="1:6" x14ac:dyDescent="0.3">
      <c r="A6" s="138"/>
      <c r="B6" s="141"/>
      <c r="C6" s="140"/>
    </row>
    <row r="7" spans="1:6" x14ac:dyDescent="0.3">
      <c r="A7" s="138" t="s">
        <v>373</v>
      </c>
      <c r="B7" s="141">
        <v>9000</v>
      </c>
      <c r="C7" s="140"/>
    </row>
    <row r="8" spans="1:6" x14ac:dyDescent="0.3">
      <c r="A8" s="138"/>
      <c r="B8" s="141"/>
      <c r="C8" s="140"/>
    </row>
    <row r="9" spans="1:6" x14ac:dyDescent="0.3">
      <c r="A9" s="138" t="s">
        <v>372</v>
      </c>
      <c r="B9" s="141">
        <v>128500</v>
      </c>
      <c r="C9" s="140"/>
    </row>
    <row r="10" spans="1:6" x14ac:dyDescent="0.3">
      <c r="A10" s="138"/>
      <c r="B10" s="141"/>
      <c r="C10" s="140"/>
    </row>
    <row r="11" spans="1:6" ht="37.5" x14ac:dyDescent="0.3">
      <c r="A11" s="146" t="s">
        <v>375</v>
      </c>
      <c r="B11" s="141">
        <v>4200</v>
      </c>
      <c r="C11" s="140"/>
    </row>
    <row r="12" spans="1:6" x14ac:dyDescent="0.3">
      <c r="A12" s="138"/>
      <c r="B12" s="141"/>
      <c r="C12" s="140"/>
    </row>
    <row r="13" spans="1:6" x14ac:dyDescent="0.3">
      <c r="A13" s="138"/>
      <c r="B13" s="141"/>
      <c r="C13" s="140"/>
    </row>
    <row r="14" spans="1:6" s="130" customFormat="1" ht="19.5" x14ac:dyDescent="0.35">
      <c r="A14" s="142" t="s">
        <v>371</v>
      </c>
      <c r="B14" s="143">
        <f>SUM(B3:B13)</f>
        <v>255510</v>
      </c>
      <c r="C14" s="144"/>
      <c r="D14" s="131"/>
      <c r="E14" s="131"/>
      <c r="F14" s="131"/>
    </row>
    <row r="15" spans="1:6" x14ac:dyDescent="0.3">
      <c r="A15" s="138"/>
      <c r="B15" s="141"/>
      <c r="C15" s="140"/>
    </row>
    <row r="16" spans="1:6" x14ac:dyDescent="0.3">
      <c r="A16" s="138"/>
      <c r="B16" s="141"/>
      <c r="C16" s="140"/>
    </row>
    <row r="17" spans="1:3" x14ac:dyDescent="0.3">
      <c r="A17" s="138"/>
      <c r="B17" s="141"/>
      <c r="C17" s="140"/>
    </row>
    <row r="18" spans="1:3" x14ac:dyDescent="0.3">
      <c r="A18" s="138"/>
      <c r="B18" s="141"/>
      <c r="C18" s="140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23"/>
  <sheetViews>
    <sheetView tabSelected="1" workbookViewId="0">
      <selection activeCell="D25" sqref="D25"/>
    </sheetView>
  </sheetViews>
  <sheetFormatPr defaultRowHeight="18.75" x14ac:dyDescent="0.3"/>
  <cols>
    <col min="1" max="1" width="45.5703125" style="128" bestFit="1" customWidth="1"/>
    <col min="2" max="2" width="22.85546875" style="134" bestFit="1" customWidth="1"/>
    <col min="3" max="3" width="9.140625" style="129"/>
    <col min="4" max="4" width="43.7109375" style="129" bestFit="1" customWidth="1"/>
    <col min="5" max="6" width="9.140625" style="129"/>
    <col min="7" max="16384" width="9.140625" style="128"/>
  </cols>
  <sheetData>
    <row r="1" spans="1:6" s="132" customFormat="1" ht="19.5" x14ac:dyDescent="0.35">
      <c r="A1" s="135" t="s">
        <v>382</v>
      </c>
      <c r="B1" s="136"/>
      <c r="C1" s="137"/>
      <c r="D1" s="137"/>
      <c r="E1" s="133"/>
      <c r="F1" s="133"/>
    </row>
    <row r="2" spans="1:6" ht="24" x14ac:dyDescent="0.65">
      <c r="A2" s="138"/>
      <c r="B2" s="139" t="s">
        <v>113</v>
      </c>
      <c r="C2" s="140"/>
      <c r="D2" s="148" t="s">
        <v>377</v>
      </c>
    </row>
    <row r="3" spans="1:6" x14ac:dyDescent="0.3">
      <c r="A3" s="138" t="s">
        <v>369</v>
      </c>
      <c r="B3" s="141">
        <f>'Januarie 2025'!B3+'Februarie 2025'!B3+'Martie 2025'!B3+'Aprilie 2025'!B3+'Mai 2025'!B3+'Iunie 2025'!B3+'Iulie 2025'!B3+'August 2025'!B3+'Septembrie 2025'!B3+'Octombrie 2025'!B3+'Noiembrie 2025'!B3+'Decembrie 2025'!B3</f>
        <v>832800</v>
      </c>
      <c r="C3" s="140"/>
      <c r="D3" s="140" t="s">
        <v>378</v>
      </c>
    </row>
    <row r="4" spans="1:6" x14ac:dyDescent="0.3">
      <c r="A4" s="138"/>
      <c r="B4" s="141"/>
      <c r="C4" s="140"/>
      <c r="D4" s="140"/>
    </row>
    <row r="5" spans="1:6" x14ac:dyDescent="0.3">
      <c r="A5" s="138" t="s">
        <v>370</v>
      </c>
      <c r="B5" s="141">
        <f>'Januarie 2025'!B5+'Februarie 2025'!B5+'Martie 2025'!B5+'Aprilie 2025'!B5+'Mai 2025'!B5+'Iunie 2025'!B5+'Iulie 2025'!B5+'August 2025'!B5+'Septembrie 2025'!B5+'Octombrie 2025'!B5+'Noiembrie 2025'!B5+'Decembrie 2025'!B5</f>
        <v>532920</v>
      </c>
      <c r="C5" s="140"/>
      <c r="D5" s="140" t="s">
        <v>379</v>
      </c>
    </row>
    <row r="6" spans="1:6" x14ac:dyDescent="0.3">
      <c r="A6" s="138"/>
      <c r="B6" s="141"/>
      <c r="C6" s="140"/>
      <c r="D6" s="140"/>
    </row>
    <row r="7" spans="1:6" x14ac:dyDescent="0.3">
      <c r="A7" s="138" t="s">
        <v>373</v>
      </c>
      <c r="B7" s="141">
        <f>'Januarie 2025'!B7+'Februarie 2025'!B7+'Martie 2025'!B7+'Aprilie 2025'!B7+'Mai 2025'!B7+'Iunie 2025'!B7+'Iulie 2025'!B7+'August 2025'!B7+'Septembrie 2025'!B7+'Octombrie 2025'!B7+'Noiembrie 2025'!B7+'Decembrie 2025'!B7</f>
        <v>108000</v>
      </c>
      <c r="C7" s="140"/>
      <c r="D7" s="140" t="s">
        <v>380</v>
      </c>
    </row>
    <row r="8" spans="1:6" x14ac:dyDescent="0.3">
      <c r="A8" s="138"/>
      <c r="B8" s="141"/>
      <c r="C8" s="140"/>
      <c r="D8" s="140"/>
    </row>
    <row r="9" spans="1:6" x14ac:dyDescent="0.3">
      <c r="A9" s="138" t="s">
        <v>372</v>
      </c>
      <c r="B9" s="141">
        <f>'Januarie 2025'!B9+'Februarie 2025'!B9+'Martie 2025'!B9+'Aprilie 2025'!B9+'Mai 2025'!B9+'Iunie 2025'!B9+'Iulie 2025'!B9+'August 2025'!B9+'Septembrie 2025'!B9+'Octombrie 2025'!B9+'Noiembrie 2025'!B9+'Decembrie 2025'!B9</f>
        <v>1542000</v>
      </c>
      <c r="C9" s="140"/>
      <c r="D9" s="140" t="s">
        <v>381</v>
      </c>
    </row>
    <row r="10" spans="1:6" x14ac:dyDescent="0.3">
      <c r="A10" s="138"/>
      <c r="B10" s="141"/>
      <c r="C10" s="140"/>
      <c r="D10" s="140"/>
    </row>
    <row r="11" spans="1:6" ht="37.5" x14ac:dyDescent="0.3">
      <c r="A11" s="146" t="s">
        <v>375</v>
      </c>
      <c r="B11" s="141">
        <f>'Januarie 2025'!B11+'Februarie 2025'!B11+'Martie 2025'!B11+'Aprilie 2025'!B11+'Mai 2025'!B11+'Iunie 2025'!B11+'Iulie 2025'!B11+'August 2025'!B11+'Septembrie 2025'!B11+'Octombrie 2025'!B11+'Noiembrie 2025'!B11+'Decembrie 2025'!B11</f>
        <v>50400</v>
      </c>
      <c r="C11" s="140"/>
      <c r="D11" s="149" t="s">
        <v>398</v>
      </c>
    </row>
    <row r="12" spans="1:6" x14ac:dyDescent="0.3">
      <c r="A12" s="138"/>
      <c r="B12" s="141"/>
      <c r="C12" s="140"/>
      <c r="D12" s="140"/>
    </row>
    <row r="13" spans="1:6" x14ac:dyDescent="0.3">
      <c r="A13" s="138" t="s">
        <v>387</v>
      </c>
      <c r="B13" s="141">
        <f>'Martie 2025'!B13</f>
        <v>375000</v>
      </c>
      <c r="C13" s="140"/>
      <c r="D13" s="140" t="s">
        <v>399</v>
      </c>
    </row>
    <row r="14" spans="1:6" x14ac:dyDescent="0.3">
      <c r="A14" s="138"/>
      <c r="B14" s="141"/>
      <c r="C14" s="140"/>
      <c r="D14" s="140"/>
    </row>
    <row r="15" spans="1:6" x14ac:dyDescent="0.3">
      <c r="A15" s="138"/>
      <c r="B15" s="141"/>
      <c r="C15" s="140"/>
      <c r="D15" s="140"/>
    </row>
    <row r="16" spans="1:6" ht="37.5" x14ac:dyDescent="0.3">
      <c r="A16" s="138" t="s">
        <v>400</v>
      </c>
      <c r="B16" s="141">
        <f>(9000+5000+53000+27600+10000+48000)*5</f>
        <v>763000</v>
      </c>
      <c r="C16" s="140"/>
      <c r="D16" s="149" t="s">
        <v>401</v>
      </c>
    </row>
    <row r="17" spans="1:6" x14ac:dyDescent="0.3">
      <c r="A17" s="138"/>
      <c r="B17" s="141"/>
      <c r="C17" s="140"/>
      <c r="D17" s="140"/>
    </row>
    <row r="18" spans="1:6" x14ac:dyDescent="0.3">
      <c r="A18" s="138"/>
      <c r="B18" s="141"/>
      <c r="C18" s="140"/>
      <c r="D18" s="140"/>
    </row>
    <row r="19" spans="1:6" s="130" customFormat="1" ht="19.5" x14ac:dyDescent="0.35">
      <c r="A19" s="142" t="s">
        <v>397</v>
      </c>
      <c r="B19" s="143">
        <f>SUM(B3:B18)</f>
        <v>4204120</v>
      </c>
      <c r="C19" s="144"/>
      <c r="D19" s="144"/>
      <c r="E19" s="131"/>
      <c r="F19" s="131"/>
    </row>
    <row r="20" spans="1:6" x14ac:dyDescent="0.3">
      <c r="A20" s="138"/>
      <c r="B20" s="141"/>
      <c r="C20" s="140"/>
      <c r="D20" s="140"/>
    </row>
    <row r="21" spans="1:6" ht="24" x14ac:dyDescent="0.65">
      <c r="A21" s="142" t="s">
        <v>374</v>
      </c>
      <c r="B21" s="145">
        <f>B19/5</f>
        <v>840824</v>
      </c>
      <c r="C21" s="140"/>
      <c r="D21" s="140"/>
    </row>
    <row r="22" spans="1:6" x14ac:dyDescent="0.3">
      <c r="A22" s="138"/>
      <c r="B22" s="141"/>
      <c r="C22" s="140"/>
    </row>
    <row r="23" spans="1:6" ht="19.5" x14ac:dyDescent="0.35">
      <c r="A23" s="147" t="s">
        <v>376</v>
      </c>
      <c r="B23" s="141"/>
      <c r="C23" s="14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44"/>
  <sheetViews>
    <sheetView showGridLines="0" workbookViewId="0">
      <pane xSplit="1" ySplit="3" topLeftCell="B158" activePane="bottomRight" state="frozen"/>
      <selection pane="topRight" activeCell="B1" sqref="B1"/>
      <selection pane="bottomLeft" activeCell="A4" sqref="A4"/>
      <selection pane="bottomRight" activeCell="A172" sqref="A172"/>
    </sheetView>
  </sheetViews>
  <sheetFormatPr defaultRowHeight="15" outlineLevelRow="1" x14ac:dyDescent="0.25"/>
  <cols>
    <col min="1" max="1" width="52" bestFit="1" customWidth="1"/>
    <col min="2" max="2" width="11.42578125" bestFit="1" customWidth="1"/>
    <col min="3" max="3" width="14" bestFit="1" customWidth="1"/>
    <col min="4" max="4" width="8.5703125" bestFit="1" customWidth="1"/>
    <col min="6" max="6" width="4" bestFit="1" customWidth="1"/>
    <col min="8" max="8" width="10.140625" customWidth="1"/>
    <col min="10" max="10" width="22.7109375" bestFit="1" customWidth="1"/>
    <col min="11" max="11" width="10.85546875" customWidth="1"/>
    <col min="12" max="12" width="14" bestFit="1" customWidth="1"/>
    <col min="13" max="13" width="19" bestFit="1" customWidth="1"/>
    <col min="14" max="14" width="20.42578125" bestFit="1" customWidth="1"/>
  </cols>
  <sheetData>
    <row r="1" spans="1:15" x14ac:dyDescent="0.25">
      <c r="I1" s="48"/>
      <c r="J1" s="48"/>
      <c r="K1" s="48"/>
      <c r="L1" s="48"/>
      <c r="M1" s="48"/>
      <c r="N1" s="48"/>
    </row>
    <row r="2" spans="1:15" x14ac:dyDescent="0.25">
      <c r="I2" s="48"/>
      <c r="J2" s="48"/>
      <c r="K2" s="48"/>
      <c r="L2" s="48"/>
      <c r="M2" s="48"/>
      <c r="N2" s="48"/>
    </row>
    <row r="3" spans="1:15" s="1" customFormat="1" x14ac:dyDescent="0.25">
      <c r="I3" s="49"/>
      <c r="J3" s="49"/>
      <c r="K3" s="49"/>
      <c r="L3" s="49"/>
      <c r="M3" s="49"/>
      <c r="N3" s="49"/>
    </row>
    <row r="4" spans="1:15" s="1" customFormat="1" hidden="1" x14ac:dyDescent="0.25">
      <c r="A4" s="46" t="s">
        <v>139</v>
      </c>
      <c r="B4" s="47">
        <v>4.2</v>
      </c>
      <c r="C4" s="49"/>
      <c r="D4" s="49"/>
      <c r="I4" s="49"/>
      <c r="N4" s="49"/>
    </row>
    <row r="5" spans="1:15" hidden="1" x14ac:dyDescent="0.25">
      <c r="A5" s="48"/>
      <c r="B5" s="48"/>
      <c r="C5" s="48"/>
      <c r="D5" s="48"/>
      <c r="I5" s="49"/>
      <c r="N5" s="48"/>
      <c r="O5" s="48"/>
    </row>
    <row r="6" spans="1:15" ht="15.75" hidden="1" x14ac:dyDescent="0.25">
      <c r="A6" s="30" t="s">
        <v>118</v>
      </c>
      <c r="B6" s="150" t="s">
        <v>159</v>
      </c>
      <c r="C6" s="150"/>
      <c r="D6" s="150"/>
      <c r="I6" s="49"/>
      <c r="N6" s="48"/>
    </row>
    <row r="7" spans="1:15" ht="16.5" hidden="1" thickBot="1" x14ac:dyDescent="0.3">
      <c r="A7" s="30" t="s">
        <v>144</v>
      </c>
      <c r="B7" s="50" t="s">
        <v>140</v>
      </c>
      <c r="C7" s="50" t="s">
        <v>141</v>
      </c>
      <c r="D7" s="51" t="s">
        <v>142</v>
      </c>
      <c r="G7" s="97" t="s">
        <v>174</v>
      </c>
      <c r="H7" s="97"/>
      <c r="I7" s="49"/>
      <c r="N7" s="48"/>
    </row>
    <row r="8" spans="1:15" hidden="1" x14ac:dyDescent="0.25">
      <c r="A8" s="31" t="s">
        <v>119</v>
      </c>
      <c r="B8" s="38"/>
      <c r="C8" s="48"/>
      <c r="D8" s="48"/>
      <c r="I8" s="49"/>
      <c r="N8" s="48"/>
    </row>
    <row r="9" spans="1:15" hidden="1" x14ac:dyDescent="0.25">
      <c r="A9" s="32" t="s">
        <v>120</v>
      </c>
      <c r="B9" s="39">
        <f>353.84688*B4</f>
        <v>1486.156896</v>
      </c>
      <c r="C9" s="39">
        <f>C10</f>
        <v>354.9</v>
      </c>
      <c r="D9" s="39">
        <f>C9-B9</f>
        <v>-1131.2568959999999</v>
      </c>
      <c r="G9" s="95" t="s">
        <v>197</v>
      </c>
      <c r="H9" s="95"/>
      <c r="I9" s="98"/>
      <c r="N9" s="48"/>
    </row>
    <row r="10" spans="1:15" hidden="1" x14ac:dyDescent="0.25">
      <c r="A10" s="79" t="s">
        <v>2</v>
      </c>
      <c r="B10" s="80"/>
      <c r="C10" s="80">
        <f>B117+C117</f>
        <v>354.9</v>
      </c>
      <c r="D10" s="80"/>
      <c r="I10" s="98"/>
      <c r="N10" s="48"/>
    </row>
    <row r="11" spans="1:15" hidden="1" x14ac:dyDescent="0.25">
      <c r="A11" s="33"/>
      <c r="B11" s="40"/>
      <c r="C11" s="40"/>
      <c r="D11" s="40"/>
      <c r="I11" s="98"/>
      <c r="N11" s="48"/>
    </row>
    <row r="12" spans="1:15" hidden="1" x14ac:dyDescent="0.25">
      <c r="A12" s="33" t="s">
        <v>121</v>
      </c>
      <c r="B12" s="40">
        <f>-181.0314765*B4</f>
        <v>-760.33220130000007</v>
      </c>
      <c r="C12" s="40">
        <f>SUM(C13:C15)</f>
        <v>-331.96437000000003</v>
      </c>
      <c r="D12" s="40">
        <f>C12-B12</f>
        <v>428.36783130000003</v>
      </c>
      <c r="G12" s="95" t="s">
        <v>197</v>
      </c>
      <c r="H12" s="95"/>
      <c r="I12" s="98"/>
      <c r="N12" s="48"/>
    </row>
    <row r="13" spans="1:15" outlineLevel="1" x14ac:dyDescent="0.25">
      <c r="A13" s="81" t="s">
        <v>8</v>
      </c>
      <c r="B13" s="40"/>
      <c r="C13" s="82">
        <f>-B133</f>
        <v>-39.491280000000003</v>
      </c>
      <c r="D13" s="40"/>
      <c r="I13" s="98"/>
      <c r="N13" s="48"/>
    </row>
    <row r="14" spans="1:15" outlineLevel="1" x14ac:dyDescent="0.25">
      <c r="A14" s="81" t="s">
        <v>22</v>
      </c>
      <c r="B14" s="40"/>
      <c r="C14" s="82">
        <f>-SUM(B134:E134)</f>
        <v>-292.47309000000001</v>
      </c>
      <c r="D14" s="40"/>
      <c r="I14" s="98"/>
      <c r="N14" s="48"/>
    </row>
    <row r="15" spans="1:15" outlineLevel="1" x14ac:dyDescent="0.25">
      <c r="A15" s="81" t="s">
        <v>79</v>
      </c>
      <c r="B15" s="40"/>
      <c r="C15" s="82"/>
      <c r="D15" s="40"/>
      <c r="I15" s="98"/>
      <c r="N15" s="48"/>
    </row>
    <row r="16" spans="1:15" hidden="1" x14ac:dyDescent="0.25">
      <c r="A16" s="33"/>
      <c r="B16" s="40"/>
      <c r="C16" s="40"/>
      <c r="D16" s="40"/>
      <c r="I16" s="98"/>
      <c r="N16" s="48"/>
    </row>
    <row r="17" spans="1:14" hidden="1" x14ac:dyDescent="0.25">
      <c r="A17" s="33" t="s">
        <v>122</v>
      </c>
      <c r="B17" s="40">
        <v>-0.66509099999999988</v>
      </c>
      <c r="C17" s="40"/>
      <c r="D17" s="40">
        <f>C17-B17</f>
        <v>0.66509099999999988</v>
      </c>
      <c r="G17" s="95"/>
      <c r="H17" s="95"/>
      <c r="I17" s="98"/>
      <c r="N17" s="48"/>
    </row>
    <row r="18" spans="1:14" hidden="1" x14ac:dyDescent="0.25">
      <c r="A18" s="33" t="s">
        <v>123</v>
      </c>
      <c r="B18" s="40">
        <f>-121.541662578305*B4</f>
        <v>-510.47498282888097</v>
      </c>
      <c r="C18" s="40">
        <f>SUM(C19:C23)</f>
        <v>-577</v>
      </c>
      <c r="D18" s="40">
        <f>C18-B18</f>
        <v>-66.525017171119032</v>
      </c>
      <c r="G18" s="95"/>
      <c r="H18" s="95"/>
      <c r="I18" s="98"/>
      <c r="N18" s="48"/>
    </row>
    <row r="19" spans="1:14" outlineLevel="1" x14ac:dyDescent="0.25">
      <c r="A19" s="81" t="s">
        <v>103</v>
      </c>
      <c r="B19" s="40"/>
      <c r="C19" s="82">
        <f>-(C135+E135)</f>
        <v>-315</v>
      </c>
      <c r="D19" s="40"/>
      <c r="I19" s="98"/>
      <c r="N19" s="48"/>
    </row>
    <row r="20" spans="1:14" outlineLevel="1" x14ac:dyDescent="0.25">
      <c r="A20" s="81" t="s">
        <v>147</v>
      </c>
      <c r="B20" s="40"/>
      <c r="C20" s="82">
        <f>-(E136+E150)</f>
        <v>-258</v>
      </c>
      <c r="D20" s="40"/>
      <c r="I20" s="98"/>
      <c r="N20" s="48"/>
    </row>
    <row r="21" spans="1:14" outlineLevel="1" x14ac:dyDescent="0.25">
      <c r="A21" s="81" t="s">
        <v>146</v>
      </c>
      <c r="B21" s="40"/>
      <c r="C21" s="82"/>
      <c r="D21" s="40"/>
      <c r="I21" s="98"/>
      <c r="N21" s="48"/>
    </row>
    <row r="22" spans="1:14" outlineLevel="1" x14ac:dyDescent="0.25">
      <c r="A22" s="81" t="s">
        <v>189</v>
      </c>
      <c r="B22" s="40"/>
      <c r="C22" s="82"/>
      <c r="D22" s="40"/>
      <c r="I22" s="98"/>
      <c r="N22" s="48"/>
    </row>
    <row r="23" spans="1:14" outlineLevel="1" x14ac:dyDescent="0.25">
      <c r="A23" s="81" t="s">
        <v>98</v>
      </c>
      <c r="B23" s="40"/>
      <c r="C23" s="82">
        <f>-C162</f>
        <v>-4</v>
      </c>
      <c r="D23" s="40"/>
      <c r="I23" s="98"/>
      <c r="N23" s="48"/>
    </row>
    <row r="24" spans="1:14" hidden="1" x14ac:dyDescent="0.25">
      <c r="A24" s="52" t="s">
        <v>143</v>
      </c>
      <c r="B24" s="53"/>
      <c r="C24" s="53">
        <f>SUM(C25:C27)</f>
        <v>-48.12039</v>
      </c>
      <c r="D24" s="53">
        <f>C24-B24</f>
        <v>-48.12039</v>
      </c>
      <c r="G24" s="95"/>
      <c r="H24" s="95"/>
      <c r="I24" s="98"/>
      <c r="N24" s="48"/>
    </row>
    <row r="25" spans="1:14" outlineLevel="1" x14ac:dyDescent="0.25">
      <c r="A25" s="81" t="s">
        <v>149</v>
      </c>
      <c r="B25" s="53"/>
      <c r="C25" s="82">
        <f>-(B154+E154)</f>
        <v>-29.220389999999998</v>
      </c>
      <c r="D25" s="53"/>
      <c r="I25" s="98"/>
      <c r="N25" s="48"/>
    </row>
    <row r="26" spans="1:14" outlineLevel="1" x14ac:dyDescent="0.25">
      <c r="A26" s="81" t="s">
        <v>167</v>
      </c>
      <c r="B26" s="53"/>
      <c r="C26" s="82"/>
      <c r="D26" s="53"/>
      <c r="I26" s="98"/>
      <c r="N26" s="48"/>
    </row>
    <row r="27" spans="1:14" outlineLevel="1" x14ac:dyDescent="0.25">
      <c r="A27" s="81" t="s">
        <v>196</v>
      </c>
      <c r="B27" s="53"/>
      <c r="C27" s="82">
        <f>-C176</f>
        <v>-18.899999999999999</v>
      </c>
      <c r="D27" s="53"/>
      <c r="I27" s="98"/>
      <c r="N27" s="48"/>
    </row>
    <row r="28" spans="1:14" hidden="1" x14ac:dyDescent="0.25">
      <c r="A28" s="33" t="s">
        <v>124</v>
      </c>
      <c r="B28" s="40">
        <f>-138.197217697936*B4</f>
        <v>-580.42831433133119</v>
      </c>
      <c r="C28" s="83">
        <f>SUM(C29:C66)</f>
        <v>-598.55861999999991</v>
      </c>
      <c r="D28" s="40">
        <f>C28-B28</f>
        <v>-18.130305668668711</v>
      </c>
      <c r="G28" s="95" t="s">
        <v>198</v>
      </c>
      <c r="H28" s="95"/>
      <c r="I28" s="98"/>
      <c r="N28" s="48"/>
    </row>
    <row r="29" spans="1:14" outlineLevel="1" x14ac:dyDescent="0.25">
      <c r="A29" s="81" t="s">
        <v>29</v>
      </c>
      <c r="B29" s="40"/>
      <c r="C29" s="83">
        <f>-C138</f>
        <v>-90</v>
      </c>
      <c r="D29" s="40"/>
      <c r="I29" s="98"/>
      <c r="N29" s="48"/>
    </row>
    <row r="30" spans="1:14" outlineLevel="1" x14ac:dyDescent="0.25">
      <c r="A30" s="81" t="s">
        <v>9</v>
      </c>
      <c r="B30" s="40"/>
      <c r="C30" s="83">
        <f>-C142</f>
        <v>-7.9674500000000004</v>
      </c>
      <c r="D30" s="40"/>
      <c r="I30" s="98"/>
      <c r="N30" s="48"/>
    </row>
    <row r="31" spans="1:14" outlineLevel="1" x14ac:dyDescent="0.25">
      <c r="A31" s="81" t="s">
        <v>111</v>
      </c>
      <c r="B31" s="40"/>
      <c r="C31" s="83"/>
      <c r="D31" s="40"/>
      <c r="I31" s="98"/>
      <c r="N31" s="48"/>
    </row>
    <row r="32" spans="1:14" outlineLevel="1" x14ac:dyDescent="0.25">
      <c r="A32" s="81" t="s">
        <v>45</v>
      </c>
      <c r="B32" s="40"/>
      <c r="C32" s="83"/>
      <c r="D32" s="40"/>
      <c r="I32" s="98"/>
      <c r="N32" s="48"/>
    </row>
    <row r="33" spans="1:14" outlineLevel="1" x14ac:dyDescent="0.25">
      <c r="A33" s="81" t="s">
        <v>52</v>
      </c>
      <c r="B33" s="40"/>
      <c r="C33" s="83">
        <f>-E147</f>
        <v>-5.5</v>
      </c>
      <c r="D33" s="40"/>
      <c r="I33" s="98"/>
      <c r="N33" s="48"/>
    </row>
    <row r="34" spans="1:14" outlineLevel="1" x14ac:dyDescent="0.25">
      <c r="A34" s="81" t="s">
        <v>183</v>
      </c>
      <c r="B34" s="40"/>
      <c r="C34" s="83">
        <f>-E177</f>
        <v>-9</v>
      </c>
      <c r="D34" s="40"/>
      <c r="I34" s="98"/>
      <c r="N34" s="48"/>
    </row>
    <row r="35" spans="1:14" outlineLevel="1" x14ac:dyDescent="0.25">
      <c r="A35" s="81" t="s">
        <v>56</v>
      </c>
      <c r="B35" s="40"/>
      <c r="C35" s="83"/>
      <c r="D35" s="40"/>
      <c r="I35" s="98"/>
      <c r="N35" s="48"/>
    </row>
    <row r="36" spans="1:14" outlineLevel="1" x14ac:dyDescent="0.25">
      <c r="A36" s="81" t="s">
        <v>12</v>
      </c>
      <c r="B36" s="40"/>
      <c r="C36" s="83">
        <f>-(C148+E148)</f>
        <v>-8</v>
      </c>
      <c r="D36" s="40"/>
      <c r="I36" s="98"/>
      <c r="N36" s="48"/>
    </row>
    <row r="37" spans="1:14" outlineLevel="1" x14ac:dyDescent="0.25">
      <c r="A37" s="81" t="s">
        <v>68</v>
      </c>
      <c r="B37" s="40"/>
      <c r="C37" s="83">
        <f>-D152</f>
        <v>-19.004535000000001</v>
      </c>
      <c r="D37" s="40"/>
      <c r="I37" s="98"/>
      <c r="N37" s="48"/>
    </row>
    <row r="38" spans="1:14" outlineLevel="1" x14ac:dyDescent="0.25">
      <c r="A38" s="81" t="s">
        <v>42</v>
      </c>
      <c r="B38" s="40"/>
      <c r="C38" s="83">
        <f>-C163</f>
        <v>-4.7276600000000002</v>
      </c>
      <c r="D38" s="40"/>
      <c r="I38" s="98"/>
      <c r="N38" s="48"/>
    </row>
    <row r="39" spans="1:14" outlineLevel="1" x14ac:dyDescent="0.25">
      <c r="A39" s="81" t="s">
        <v>76</v>
      </c>
      <c r="B39" s="40"/>
      <c r="C39" s="83">
        <f>-C164</f>
        <v>-1</v>
      </c>
      <c r="D39" s="40"/>
      <c r="I39" s="98"/>
      <c r="N39" s="48"/>
    </row>
    <row r="40" spans="1:14" outlineLevel="1" x14ac:dyDescent="0.25">
      <c r="A40" s="81" t="s">
        <v>30</v>
      </c>
      <c r="B40" s="40"/>
      <c r="C40" s="83">
        <f>-C165</f>
        <v>-120</v>
      </c>
      <c r="D40" s="40"/>
      <c r="I40" s="98"/>
      <c r="N40" s="48"/>
    </row>
    <row r="41" spans="1:14" outlineLevel="1" x14ac:dyDescent="0.25">
      <c r="A41" s="81" t="s">
        <v>15</v>
      </c>
      <c r="B41" s="40"/>
      <c r="C41" s="83">
        <f>-C166</f>
        <v>-152.30052000000001</v>
      </c>
      <c r="D41" s="40"/>
      <c r="I41" s="98"/>
      <c r="N41" s="48"/>
    </row>
    <row r="42" spans="1:14" outlineLevel="1" x14ac:dyDescent="0.25">
      <c r="A42" s="81" t="s">
        <v>165</v>
      </c>
      <c r="B42" s="40"/>
      <c r="C42" s="83">
        <f>-B167</f>
        <v>-3</v>
      </c>
      <c r="D42" s="40"/>
      <c r="I42" s="98"/>
      <c r="N42" s="48"/>
    </row>
    <row r="43" spans="1:14" outlineLevel="1" x14ac:dyDescent="0.25">
      <c r="A43" s="81" t="s">
        <v>168</v>
      </c>
      <c r="B43" s="40"/>
      <c r="C43" s="83"/>
      <c r="D43" s="40"/>
      <c r="I43" s="98"/>
      <c r="N43" s="48"/>
    </row>
    <row r="44" spans="1:14" outlineLevel="1" x14ac:dyDescent="0.25">
      <c r="A44" s="81" t="s">
        <v>24</v>
      </c>
      <c r="B44" s="40"/>
      <c r="C44" s="83">
        <f>-(C151+E151)</f>
        <v>-72.431060000000002</v>
      </c>
      <c r="D44" s="40"/>
      <c r="I44" s="98"/>
      <c r="N44" s="48"/>
    </row>
    <row r="45" spans="1:14" outlineLevel="1" x14ac:dyDescent="0.25">
      <c r="A45" s="81" t="s">
        <v>25</v>
      </c>
      <c r="B45" s="40"/>
      <c r="C45" s="40">
        <f>-C155</f>
        <v>-8.2565550000000005</v>
      </c>
      <c r="D45" s="40"/>
      <c r="I45" s="49"/>
      <c r="N45" s="48"/>
    </row>
    <row r="46" spans="1:14" outlineLevel="1" x14ac:dyDescent="0.25">
      <c r="A46" s="81" t="s">
        <v>23</v>
      </c>
      <c r="B46" s="40"/>
      <c r="C46" s="83">
        <f>-C173</f>
        <v>-1.2144600000000001</v>
      </c>
      <c r="D46" s="40"/>
      <c r="I46" s="98"/>
      <c r="N46" s="48"/>
    </row>
    <row r="47" spans="1:14" outlineLevel="1" x14ac:dyDescent="0.25">
      <c r="A47" s="81" t="s">
        <v>35</v>
      </c>
      <c r="B47" s="40"/>
      <c r="C47" s="83"/>
      <c r="D47" s="40"/>
      <c r="I47" s="98"/>
      <c r="N47" s="48"/>
    </row>
    <row r="48" spans="1:14" outlineLevel="1" x14ac:dyDescent="0.25">
      <c r="A48" s="81" t="s">
        <v>40</v>
      </c>
      <c r="B48" s="40"/>
      <c r="C48" s="83"/>
      <c r="D48" s="40"/>
      <c r="I48" s="98"/>
      <c r="N48" s="48"/>
    </row>
    <row r="49" spans="1:14" outlineLevel="1" x14ac:dyDescent="0.25">
      <c r="A49" s="81" t="s">
        <v>91</v>
      </c>
      <c r="B49" s="40"/>
      <c r="C49" s="83"/>
      <c r="D49" s="40"/>
      <c r="I49" s="98"/>
      <c r="N49" s="48"/>
    </row>
    <row r="50" spans="1:14" outlineLevel="1" x14ac:dyDescent="0.25">
      <c r="A50" s="81" t="s">
        <v>100</v>
      </c>
      <c r="B50" s="40"/>
      <c r="C50" s="83"/>
      <c r="D50" s="40"/>
      <c r="I50" s="98"/>
      <c r="N50" s="48"/>
    </row>
    <row r="51" spans="1:14" outlineLevel="1" x14ac:dyDescent="0.25">
      <c r="A51" s="81" t="s">
        <v>13</v>
      </c>
      <c r="B51" s="40"/>
      <c r="C51" s="83">
        <f>-D168</f>
        <v>-7</v>
      </c>
      <c r="D51" s="40"/>
      <c r="I51" s="98"/>
      <c r="N51" s="48"/>
    </row>
    <row r="52" spans="1:14" outlineLevel="1" x14ac:dyDescent="0.25">
      <c r="A52" s="81" t="s">
        <v>41</v>
      </c>
      <c r="B52" s="40"/>
      <c r="C52" s="83">
        <f>-C169</f>
        <v>-4</v>
      </c>
      <c r="D52" s="40"/>
      <c r="I52" s="98"/>
      <c r="N52" s="48"/>
    </row>
    <row r="53" spans="1:14" outlineLevel="1" x14ac:dyDescent="0.25">
      <c r="A53" s="81" t="s">
        <v>36</v>
      </c>
      <c r="B53" s="40"/>
      <c r="C53" s="83">
        <f>-(C170+E170)</f>
        <v>-4</v>
      </c>
      <c r="D53" s="40"/>
      <c r="I53" s="98"/>
      <c r="N53" s="48"/>
    </row>
    <row r="54" spans="1:14" outlineLevel="1" x14ac:dyDescent="0.25">
      <c r="A54" s="81" t="s">
        <v>62</v>
      </c>
      <c r="B54" s="40"/>
      <c r="C54" s="83"/>
      <c r="D54" s="40"/>
      <c r="I54" s="98"/>
      <c r="N54" s="48"/>
    </row>
    <row r="55" spans="1:14" outlineLevel="1" x14ac:dyDescent="0.25">
      <c r="A55" s="81" t="s">
        <v>54</v>
      </c>
      <c r="B55" s="40"/>
      <c r="C55" s="83">
        <f>-C172-E172</f>
        <v>-4</v>
      </c>
      <c r="D55" s="40"/>
      <c r="I55" s="98"/>
      <c r="N55" s="48"/>
    </row>
    <row r="56" spans="1:14" outlineLevel="1" x14ac:dyDescent="0.25">
      <c r="A56" s="81" t="s">
        <v>166</v>
      </c>
      <c r="B56" s="40"/>
      <c r="C56" s="83"/>
      <c r="D56" s="40"/>
      <c r="I56" s="98"/>
      <c r="N56" s="48"/>
    </row>
    <row r="57" spans="1:14" outlineLevel="1" x14ac:dyDescent="0.25">
      <c r="A57" s="81" t="s">
        <v>48</v>
      </c>
      <c r="B57" s="40"/>
      <c r="C57" s="83"/>
      <c r="D57" s="40"/>
      <c r="I57" s="98"/>
      <c r="N57" s="48"/>
    </row>
    <row r="58" spans="1:14" outlineLevel="1" x14ac:dyDescent="0.25">
      <c r="A58" s="81" t="s">
        <v>73</v>
      </c>
      <c r="B58" s="40"/>
      <c r="C58" s="83">
        <f>-B145</f>
        <v>-0.93035000000000001</v>
      </c>
      <c r="D58" s="40"/>
      <c r="I58" s="98"/>
      <c r="N58" s="48"/>
    </row>
    <row r="59" spans="1:14" outlineLevel="1" x14ac:dyDescent="0.25">
      <c r="A59" s="81" t="s">
        <v>66</v>
      </c>
      <c r="B59" s="40"/>
      <c r="C59" s="83">
        <f>-(B174+B175)</f>
        <v>-0.78400000000000003</v>
      </c>
      <c r="D59" s="40"/>
      <c r="I59" s="98"/>
      <c r="N59" s="48"/>
    </row>
    <row r="60" spans="1:14" outlineLevel="1" x14ac:dyDescent="0.25">
      <c r="A60" s="81" t="s">
        <v>80</v>
      </c>
      <c r="B60" s="40"/>
      <c r="C60" s="83">
        <f>-(C141+E141)</f>
        <v>-22</v>
      </c>
      <c r="D60" s="40"/>
      <c r="I60" s="98"/>
      <c r="N60" s="48"/>
    </row>
    <row r="61" spans="1:14" outlineLevel="1" x14ac:dyDescent="0.25">
      <c r="A61" s="81" t="s">
        <v>171</v>
      </c>
      <c r="B61" s="40"/>
      <c r="C61" s="83"/>
      <c r="D61" s="40"/>
      <c r="I61" s="98"/>
      <c r="N61" s="48"/>
    </row>
    <row r="62" spans="1:14" outlineLevel="1" x14ac:dyDescent="0.25">
      <c r="A62" s="81" t="s">
        <v>28</v>
      </c>
      <c r="B62" s="40"/>
      <c r="C62" s="83">
        <f>-C156</f>
        <v>-15</v>
      </c>
      <c r="D62" s="40"/>
      <c r="I62" s="98"/>
      <c r="N62" s="48"/>
    </row>
    <row r="63" spans="1:14" outlineLevel="1" x14ac:dyDescent="0.25">
      <c r="A63" s="81" t="s">
        <v>188</v>
      </c>
      <c r="B63" s="40"/>
      <c r="C63" s="83">
        <f>-B179</f>
        <v>-8.0798699999999997</v>
      </c>
      <c r="D63" s="40"/>
      <c r="I63" s="98"/>
      <c r="N63" s="48"/>
    </row>
    <row r="64" spans="1:14" outlineLevel="1" x14ac:dyDescent="0.25">
      <c r="A64" s="81" t="s">
        <v>182</v>
      </c>
      <c r="B64" s="40"/>
      <c r="C64" s="83"/>
      <c r="D64" s="40"/>
      <c r="I64" s="98"/>
      <c r="N64" s="48"/>
    </row>
    <row r="65" spans="1:14" outlineLevel="1" x14ac:dyDescent="0.25">
      <c r="A65" s="104" t="s">
        <v>195</v>
      </c>
      <c r="B65" s="105"/>
      <c r="C65" s="105">
        <f>-B160-B161</f>
        <v>-24.254999999999999</v>
      </c>
      <c r="D65" s="40"/>
      <c r="I65" s="98"/>
      <c r="N65" s="48"/>
    </row>
    <row r="66" spans="1:14" outlineLevel="1" x14ac:dyDescent="0.25">
      <c r="A66" s="84" t="s">
        <v>150</v>
      </c>
      <c r="B66" s="41"/>
      <c r="C66" s="62">
        <f>-(B158+E158)</f>
        <v>-6.1071599999999995</v>
      </c>
      <c r="D66" s="41"/>
      <c r="I66" s="98"/>
      <c r="N66" s="48"/>
    </row>
    <row r="67" spans="1:14" hidden="1" x14ac:dyDescent="0.25">
      <c r="A67" s="34"/>
      <c r="B67" s="40"/>
      <c r="C67" s="40"/>
      <c r="D67" s="40"/>
      <c r="I67" s="98"/>
      <c r="N67" s="48"/>
    </row>
    <row r="68" spans="1:14" hidden="1" x14ac:dyDescent="0.25">
      <c r="A68" s="35" t="s">
        <v>134</v>
      </c>
      <c r="B68" s="42">
        <f>B9+B12+B17+B18+B24+B28</f>
        <v>-365.74369346021223</v>
      </c>
      <c r="C68" s="42">
        <f>C9+C12+C17+C18+C24+C28</f>
        <v>-1200.7433799999999</v>
      </c>
      <c r="D68" s="42">
        <f>D9+D12+D17+D18+D24+D28</f>
        <v>-834.9996865397876</v>
      </c>
      <c r="G68" s="95"/>
      <c r="H68" s="95"/>
      <c r="I68" s="98"/>
      <c r="N68" s="48"/>
    </row>
    <row r="69" spans="1:14" s="1" customFormat="1" hidden="1" x14ac:dyDescent="0.25">
      <c r="A69" s="34"/>
      <c r="B69" s="40"/>
      <c r="C69" s="40"/>
      <c r="D69" s="40"/>
      <c r="I69" s="98"/>
      <c r="N69" s="49"/>
    </row>
    <row r="70" spans="1:14" s="1" customFormat="1" hidden="1" x14ac:dyDescent="0.25">
      <c r="A70" s="31" t="s">
        <v>125</v>
      </c>
      <c r="B70" s="43">
        <f>-59.33*B4</f>
        <v>-249.18600000000001</v>
      </c>
      <c r="C70" s="43">
        <f>SUM(C71:C73)</f>
        <v>0</v>
      </c>
      <c r="D70" s="43">
        <f>C70-B70</f>
        <v>249.18600000000001</v>
      </c>
      <c r="G70" s="93"/>
      <c r="H70" s="93"/>
      <c r="I70" s="98"/>
      <c r="N70" s="49"/>
    </row>
    <row r="71" spans="1:14" s="1" customFormat="1" outlineLevel="1" x14ac:dyDescent="0.25">
      <c r="A71" s="81" t="s">
        <v>53</v>
      </c>
      <c r="B71" s="40"/>
      <c r="C71" s="40"/>
      <c r="D71" s="40"/>
      <c r="I71" s="98"/>
      <c r="N71" s="49"/>
    </row>
    <row r="72" spans="1:14" s="1" customFormat="1" outlineLevel="1" x14ac:dyDescent="0.25">
      <c r="A72" s="81" t="s">
        <v>148</v>
      </c>
      <c r="B72" s="40"/>
      <c r="C72" s="40"/>
      <c r="D72" s="40"/>
      <c r="I72" s="98"/>
      <c r="N72" s="49"/>
    </row>
    <row r="73" spans="1:14" s="1" customFormat="1" outlineLevel="1" x14ac:dyDescent="0.25">
      <c r="A73" s="81" t="s">
        <v>151</v>
      </c>
      <c r="B73" s="40"/>
      <c r="C73" s="40"/>
      <c r="D73" s="40"/>
      <c r="I73" s="98"/>
      <c r="N73" s="49"/>
    </row>
    <row r="74" spans="1:14" hidden="1" x14ac:dyDescent="0.25">
      <c r="A74" s="33" t="s">
        <v>126</v>
      </c>
      <c r="B74" s="40">
        <f>23.0231620925531*B4</f>
        <v>96.69728078872302</v>
      </c>
      <c r="C74" s="40">
        <f>SUM(C75:C79)</f>
        <v>26.42067999999999</v>
      </c>
      <c r="D74" s="40">
        <f>C74-B74</f>
        <v>-70.27660078872303</v>
      </c>
      <c r="G74" s="95"/>
      <c r="H74" s="95"/>
      <c r="I74" s="98"/>
      <c r="N74" s="48"/>
    </row>
    <row r="75" spans="1:14" outlineLevel="1" x14ac:dyDescent="0.25">
      <c r="A75" s="81" t="s">
        <v>152</v>
      </c>
      <c r="B75" s="40"/>
      <c r="C75" s="40">
        <f>-E137</f>
        <v>-13</v>
      </c>
      <c r="D75" s="40"/>
      <c r="I75" s="98"/>
      <c r="N75" s="48"/>
    </row>
    <row r="76" spans="1:14" outlineLevel="1" x14ac:dyDescent="0.25">
      <c r="A76" s="81" t="s">
        <v>10</v>
      </c>
      <c r="B76" s="40"/>
      <c r="C76" s="40">
        <f>-SUM(B140:E140)</f>
        <v>-55</v>
      </c>
      <c r="D76" s="40"/>
      <c r="I76" s="98"/>
      <c r="N76" s="48"/>
    </row>
    <row r="77" spans="1:14" outlineLevel="1" x14ac:dyDescent="0.25">
      <c r="A77" s="81" t="s">
        <v>43</v>
      </c>
      <c r="B77" s="40"/>
      <c r="C77" s="40">
        <f>-B143</f>
        <v>-8</v>
      </c>
      <c r="D77" s="40"/>
      <c r="I77" s="98"/>
      <c r="N77" s="48"/>
    </row>
    <row r="78" spans="1:14" outlineLevel="1" x14ac:dyDescent="0.25">
      <c r="A78" s="81" t="s">
        <v>194</v>
      </c>
      <c r="B78" s="40"/>
      <c r="C78" s="40">
        <f>B129-B178</f>
        <v>159.00167999999999</v>
      </c>
      <c r="D78" s="40"/>
      <c r="I78" s="98"/>
      <c r="N78" s="48"/>
    </row>
    <row r="79" spans="1:14" outlineLevel="1" x14ac:dyDescent="0.25">
      <c r="A79" s="81" t="s">
        <v>109</v>
      </c>
      <c r="B79" s="40"/>
      <c r="C79" s="40">
        <f>-C139</f>
        <v>-56.581000000000003</v>
      </c>
      <c r="D79" s="40"/>
      <c r="I79" s="98"/>
      <c r="N79" s="48"/>
    </row>
    <row r="80" spans="1:14" hidden="1" x14ac:dyDescent="0.25">
      <c r="A80" s="33" t="s">
        <v>127</v>
      </c>
      <c r="B80" s="40">
        <f>-1.11999972306073*B4</f>
        <v>-4.7039988368550656</v>
      </c>
      <c r="C80" s="40"/>
      <c r="D80" s="40">
        <f t="shared" ref="D80:D81" si="0">C80-B80</f>
        <v>4.7039988368550656</v>
      </c>
      <c r="G80" s="95"/>
      <c r="H80" s="95"/>
      <c r="I80" s="98"/>
      <c r="N80" s="48"/>
    </row>
    <row r="81" spans="1:14" hidden="1" x14ac:dyDescent="0.25">
      <c r="A81" s="33" t="s">
        <v>128</v>
      </c>
      <c r="B81" s="40">
        <v>0</v>
      </c>
      <c r="C81" s="40"/>
      <c r="D81" s="40">
        <f t="shared" si="0"/>
        <v>0</v>
      </c>
      <c r="G81" s="95"/>
      <c r="H81" s="95"/>
      <c r="I81" s="98"/>
      <c r="N81" s="48"/>
    </row>
    <row r="82" spans="1:14" hidden="1" x14ac:dyDescent="0.25">
      <c r="A82" s="33" t="s">
        <v>129</v>
      </c>
      <c r="B82" s="40">
        <f>19.0660265532154*B4</f>
        <v>80.07731152350469</v>
      </c>
      <c r="C82" s="40">
        <f>SUM(C83:C84)</f>
        <v>40</v>
      </c>
      <c r="D82" s="40">
        <f>C82-B82</f>
        <v>-40.07731152350469</v>
      </c>
      <c r="G82" s="95"/>
      <c r="H82" s="95"/>
      <c r="I82" s="49"/>
      <c r="N82" s="48"/>
    </row>
    <row r="83" spans="1:14" outlineLevel="1" x14ac:dyDescent="0.25">
      <c r="A83" s="81" t="s">
        <v>59</v>
      </c>
      <c r="B83" s="40"/>
      <c r="C83" s="40">
        <f>E125</f>
        <v>80</v>
      </c>
      <c r="D83" s="40"/>
      <c r="I83" s="49"/>
      <c r="N83" s="48"/>
    </row>
    <row r="84" spans="1:14" outlineLevel="1" x14ac:dyDescent="0.25">
      <c r="A84" s="84" t="s">
        <v>145</v>
      </c>
      <c r="B84" s="41"/>
      <c r="C84" s="41">
        <f>-E149</f>
        <v>-40</v>
      </c>
      <c r="D84" s="41"/>
      <c r="I84" s="49"/>
      <c r="N84" s="48"/>
    </row>
    <row r="85" spans="1:14" hidden="1" x14ac:dyDescent="0.25">
      <c r="A85" s="34"/>
      <c r="B85" s="40"/>
      <c r="C85" s="40"/>
      <c r="D85" s="40"/>
      <c r="I85" s="49"/>
      <c r="N85" s="48"/>
    </row>
    <row r="86" spans="1:14" hidden="1" x14ac:dyDescent="0.25">
      <c r="A86" s="35" t="s">
        <v>135</v>
      </c>
      <c r="B86" s="42">
        <f>B70+B74+B80+B81+B82</f>
        <v>-77.115406524627375</v>
      </c>
      <c r="C86" s="42">
        <f>C70+C74+C82+C81+C80</f>
        <v>66.42067999999999</v>
      </c>
      <c r="D86" s="42">
        <f>D70+D74+D80+D81+D82</f>
        <v>143.53608652462736</v>
      </c>
      <c r="G86" s="95"/>
      <c r="H86" s="95"/>
      <c r="I86" s="49"/>
      <c r="N86" s="48"/>
    </row>
    <row r="87" spans="1:14" hidden="1" x14ac:dyDescent="0.25">
      <c r="A87" s="36"/>
      <c r="B87" s="44"/>
      <c r="C87" s="44"/>
      <c r="D87" s="44"/>
      <c r="I87" s="49"/>
      <c r="N87" s="48"/>
    </row>
    <row r="88" spans="1:14" hidden="1" x14ac:dyDescent="0.25">
      <c r="A88" s="37" t="s">
        <v>136</v>
      </c>
      <c r="B88" s="45">
        <f>B86+B68</f>
        <v>-442.85909998483959</v>
      </c>
      <c r="C88" s="45">
        <f>C86+C68</f>
        <v>-1134.3226999999999</v>
      </c>
      <c r="D88" s="45">
        <f t="shared" ref="D88" si="1">D86+D68</f>
        <v>-691.46360001516018</v>
      </c>
      <c r="G88" s="95"/>
      <c r="H88" s="95"/>
      <c r="I88" s="49"/>
      <c r="N88" s="48"/>
    </row>
    <row r="89" spans="1:14" hidden="1" x14ac:dyDescent="0.25">
      <c r="A89" s="34"/>
      <c r="B89" s="44"/>
      <c r="C89" s="44"/>
      <c r="D89" s="44"/>
      <c r="I89" s="49"/>
      <c r="N89" s="48"/>
    </row>
    <row r="90" spans="1:14" hidden="1" x14ac:dyDescent="0.25">
      <c r="A90" s="31" t="s">
        <v>130</v>
      </c>
      <c r="B90" s="43">
        <v>0</v>
      </c>
      <c r="C90" s="43"/>
      <c r="D90" s="43"/>
      <c r="I90" s="49"/>
      <c r="N90" s="48"/>
    </row>
    <row r="91" spans="1:14" hidden="1" x14ac:dyDescent="0.25">
      <c r="A91" s="33" t="s">
        <v>131</v>
      </c>
      <c r="B91" s="40">
        <v>0</v>
      </c>
      <c r="C91" s="40"/>
      <c r="D91" s="40"/>
      <c r="I91" s="49"/>
      <c r="N91" s="48"/>
    </row>
    <row r="92" spans="1:14" hidden="1" x14ac:dyDescent="0.25">
      <c r="A92" s="33" t="s">
        <v>132</v>
      </c>
      <c r="B92" s="40">
        <v>0</v>
      </c>
      <c r="C92" s="40"/>
      <c r="D92" s="40"/>
      <c r="I92" s="49"/>
      <c r="N92" s="48"/>
    </row>
    <row r="93" spans="1:14" hidden="1" x14ac:dyDescent="0.25">
      <c r="A93" s="33" t="s">
        <v>133</v>
      </c>
      <c r="B93" s="40">
        <f>-42.75*B4</f>
        <v>-179.55</v>
      </c>
      <c r="C93" s="40">
        <f>SUM(C94:C102)</f>
        <v>-95.663569999999993</v>
      </c>
      <c r="D93" s="40">
        <f>C93-B93</f>
        <v>83.886430000000018</v>
      </c>
      <c r="G93" s="95"/>
      <c r="H93" s="95"/>
      <c r="I93" s="49"/>
      <c r="N93" s="48"/>
    </row>
    <row r="94" spans="1:14" outlineLevel="1" x14ac:dyDescent="0.25">
      <c r="A94" s="81" t="s">
        <v>80</v>
      </c>
      <c r="B94" s="40"/>
      <c r="C94" s="40"/>
      <c r="D94" s="40"/>
      <c r="I94" s="49"/>
      <c r="N94" s="48"/>
    </row>
    <row r="95" spans="1:14" outlineLevel="1" x14ac:dyDescent="0.25">
      <c r="A95" s="81" t="s">
        <v>9</v>
      </c>
      <c r="B95" s="40"/>
      <c r="C95" s="40"/>
      <c r="D95" s="40"/>
      <c r="I95" s="49"/>
      <c r="N95" s="48"/>
    </row>
    <row r="96" spans="1:14" outlineLevel="1" x14ac:dyDescent="0.25">
      <c r="A96" s="81" t="s">
        <v>73</v>
      </c>
      <c r="B96" s="40"/>
      <c r="C96" s="40"/>
      <c r="D96" s="40"/>
      <c r="I96" s="49"/>
      <c r="N96" s="48"/>
    </row>
    <row r="97" spans="1:14" outlineLevel="1" x14ac:dyDescent="0.25">
      <c r="A97" s="81" t="s">
        <v>62</v>
      </c>
      <c r="B97" s="40"/>
      <c r="C97" s="40"/>
      <c r="D97" s="40"/>
      <c r="I97" s="49"/>
      <c r="N97" s="48"/>
    </row>
    <row r="98" spans="1:14" outlineLevel="1" x14ac:dyDescent="0.25">
      <c r="A98" s="81" t="s">
        <v>24</v>
      </c>
      <c r="B98" s="40"/>
      <c r="C98" s="40"/>
      <c r="D98" s="40"/>
      <c r="I98" s="49"/>
      <c r="N98" s="48"/>
    </row>
    <row r="99" spans="1:14" outlineLevel="1" x14ac:dyDescent="0.25">
      <c r="A99" s="81" t="s">
        <v>68</v>
      </c>
      <c r="B99" s="40"/>
      <c r="C99" s="40"/>
      <c r="D99" s="40"/>
      <c r="I99" s="49"/>
      <c r="N99" s="48"/>
    </row>
    <row r="100" spans="1:14" outlineLevel="1" x14ac:dyDescent="0.25">
      <c r="A100" s="81" t="s">
        <v>25</v>
      </c>
      <c r="B100" s="40"/>
      <c r="C100" s="40"/>
      <c r="D100" s="40"/>
      <c r="I100" s="49"/>
      <c r="N100" s="48"/>
    </row>
    <row r="101" spans="1:14" outlineLevel="1" x14ac:dyDescent="0.25">
      <c r="A101" s="81" t="s">
        <v>94</v>
      </c>
      <c r="B101" s="40"/>
      <c r="C101" s="40"/>
      <c r="D101" s="40"/>
      <c r="I101" s="49"/>
      <c r="N101" s="48"/>
    </row>
    <row r="102" spans="1:14" outlineLevel="1" x14ac:dyDescent="0.25">
      <c r="A102" s="84" t="s">
        <v>164</v>
      </c>
      <c r="B102" s="41"/>
      <c r="C102" s="41">
        <f>-(C167+E167)</f>
        <v>-95.663569999999993</v>
      </c>
      <c r="D102" s="41"/>
      <c r="I102" s="49"/>
      <c r="N102" s="48"/>
    </row>
    <row r="103" spans="1:14" hidden="1" x14ac:dyDescent="0.25">
      <c r="A103" s="34"/>
      <c r="B103" s="44"/>
      <c r="C103" s="44"/>
      <c r="D103" s="44"/>
      <c r="I103" s="49"/>
      <c r="N103" s="48"/>
    </row>
    <row r="104" spans="1:14" hidden="1" x14ac:dyDescent="0.25">
      <c r="A104" s="35" t="s">
        <v>137</v>
      </c>
      <c r="B104" s="42">
        <f>SUM(B90:B93)</f>
        <v>-179.55</v>
      </c>
      <c r="C104" s="42">
        <f>SUM(C90:C93)</f>
        <v>-95.663569999999993</v>
      </c>
      <c r="D104" s="42">
        <f>SUM(D90:D93)</f>
        <v>83.886430000000018</v>
      </c>
      <c r="G104" s="95"/>
      <c r="H104" s="95"/>
      <c r="I104" s="49"/>
      <c r="N104" s="48"/>
    </row>
    <row r="105" spans="1:14" hidden="1" x14ac:dyDescent="0.25">
      <c r="A105" s="34"/>
      <c r="B105" s="44"/>
      <c r="C105" s="44"/>
      <c r="D105" s="44"/>
      <c r="I105" s="49"/>
      <c r="N105" s="48"/>
    </row>
    <row r="106" spans="1:14" hidden="1" x14ac:dyDescent="0.25">
      <c r="A106" s="37" t="s">
        <v>138</v>
      </c>
      <c r="B106" s="45">
        <f>B104+B88</f>
        <v>-622.4090999848396</v>
      </c>
      <c r="C106" s="45">
        <f>C104+C88</f>
        <v>-1229.9862699999999</v>
      </c>
      <c r="D106" s="45">
        <f>D104+D88</f>
        <v>-607.57717001516016</v>
      </c>
      <c r="G106" s="95"/>
      <c r="H106" s="95"/>
      <c r="I106" s="49"/>
      <c r="N106" s="48"/>
    </row>
    <row r="107" spans="1:14" hidden="1" x14ac:dyDescent="0.25">
      <c r="I107" s="49"/>
      <c r="J107" s="48"/>
      <c r="K107" s="48"/>
      <c r="L107" s="48"/>
      <c r="M107" s="48"/>
      <c r="N107" s="48"/>
    </row>
    <row r="108" spans="1:14" hidden="1" x14ac:dyDescent="0.25">
      <c r="C108" s="92"/>
      <c r="I108" s="49"/>
      <c r="J108" s="48"/>
      <c r="K108" s="48"/>
      <c r="L108" s="48"/>
      <c r="M108" s="48"/>
      <c r="N108" s="48"/>
    </row>
    <row r="109" spans="1:14" hidden="1" x14ac:dyDescent="0.25">
      <c r="C109" s="93"/>
      <c r="I109" s="49"/>
      <c r="J109" s="48"/>
      <c r="K109" s="48"/>
      <c r="L109" s="48"/>
      <c r="M109" s="48"/>
      <c r="N109" s="48"/>
    </row>
    <row r="110" spans="1:14" hidden="1" x14ac:dyDescent="0.25">
      <c r="I110" s="49"/>
      <c r="J110" s="48"/>
      <c r="K110" s="48"/>
      <c r="L110" s="48"/>
      <c r="M110" s="48"/>
      <c r="N110" s="48"/>
    </row>
    <row r="111" spans="1:14" x14ac:dyDescent="0.25">
      <c r="I111" s="49"/>
      <c r="J111" s="48"/>
      <c r="K111" s="48"/>
      <c r="L111" s="48"/>
      <c r="M111" s="48"/>
      <c r="N111" s="48"/>
    </row>
    <row r="112" spans="1:14" x14ac:dyDescent="0.25">
      <c r="A112" s="2" t="s">
        <v>6</v>
      </c>
      <c r="B112" s="13">
        <v>14</v>
      </c>
      <c r="C112" s="13">
        <v>15</v>
      </c>
      <c r="D112" s="13">
        <v>16</v>
      </c>
      <c r="E112" s="13">
        <v>17</v>
      </c>
      <c r="H112" s="16">
        <v>2017</v>
      </c>
      <c r="I112" s="49"/>
      <c r="J112" s="48"/>
      <c r="K112" s="48"/>
      <c r="L112" s="48"/>
      <c r="M112" s="48"/>
      <c r="N112" s="48"/>
    </row>
    <row r="113" spans="1:14" x14ac:dyDescent="0.25">
      <c r="A113" s="2"/>
      <c r="B113" s="3" t="s">
        <v>184</v>
      </c>
      <c r="C113" s="3" t="s">
        <v>185</v>
      </c>
      <c r="D113" s="3" t="s">
        <v>186</v>
      </c>
      <c r="E113" s="3" t="s">
        <v>187</v>
      </c>
      <c r="H113" s="17">
        <v>2016</v>
      </c>
      <c r="I113" s="49"/>
      <c r="J113" s="48"/>
      <c r="K113" s="48"/>
      <c r="L113" s="48"/>
      <c r="M113" s="48"/>
      <c r="N113" s="48"/>
    </row>
    <row r="114" spans="1:14" x14ac:dyDescent="0.25">
      <c r="A114" s="102" t="s">
        <v>199</v>
      </c>
      <c r="B114" s="103">
        <f>134*4.55</f>
        <v>609.69999999999993</v>
      </c>
      <c r="C114" s="103">
        <f>B114-B160</f>
        <v>585.44499999999994</v>
      </c>
      <c r="D114" s="103">
        <f>C114-C161</f>
        <v>495.44499999999994</v>
      </c>
      <c r="E114" s="103">
        <f>D114</f>
        <v>495.44499999999994</v>
      </c>
      <c r="H114" s="18" t="s">
        <v>112</v>
      </c>
      <c r="I114" s="49"/>
      <c r="J114" s="48"/>
      <c r="K114" s="48"/>
      <c r="L114" s="48"/>
      <c r="M114" s="48"/>
      <c r="N114" s="48"/>
    </row>
    <row r="115" spans="1:14" x14ac:dyDescent="0.25">
      <c r="A115" s="4" t="s">
        <v>0</v>
      </c>
      <c r="B115" s="5">
        <f>682.798-B114</f>
        <v>73.09800000000007</v>
      </c>
      <c r="C115" s="5">
        <f>B241</f>
        <v>205.12101000000004</v>
      </c>
      <c r="D115" s="5">
        <f>C241</f>
        <v>-582.90985499999999</v>
      </c>
      <c r="E115" s="5">
        <f>D241</f>
        <v>-698.16439000000003</v>
      </c>
      <c r="F115" s="1"/>
      <c r="G115" s="1"/>
      <c r="I115" s="49"/>
      <c r="J115" s="48"/>
      <c r="K115" s="48"/>
      <c r="L115" s="48"/>
      <c r="M115" s="48"/>
      <c r="N115" s="48"/>
    </row>
    <row r="116" spans="1:14" x14ac:dyDescent="0.25">
      <c r="A116" s="15" t="s">
        <v>1</v>
      </c>
      <c r="B116" s="4"/>
      <c r="C116" s="4"/>
      <c r="D116" s="4"/>
      <c r="E116" s="4"/>
      <c r="F116" s="49"/>
      <c r="G116" s="49"/>
      <c r="H116" s="49"/>
      <c r="I116" s="49"/>
      <c r="J116" s="48"/>
      <c r="K116" s="48"/>
      <c r="L116" s="48"/>
      <c r="M116" s="48"/>
      <c r="N116" s="48"/>
    </row>
    <row r="117" spans="1:14" x14ac:dyDescent="0.25">
      <c r="A117" s="2" t="s">
        <v>2</v>
      </c>
      <c r="B117" s="6">
        <v>115.5</v>
      </c>
      <c r="C117" s="6">
        <v>239.4</v>
      </c>
      <c r="D117" s="6"/>
      <c r="E117" s="6"/>
      <c r="F117" s="49"/>
      <c r="G117" s="49"/>
      <c r="H117" s="49"/>
      <c r="I117" s="49"/>
      <c r="J117" s="48"/>
      <c r="K117" s="48"/>
      <c r="L117" s="48"/>
      <c r="M117" s="48"/>
      <c r="N117" s="48"/>
    </row>
    <row r="118" spans="1:14" x14ac:dyDescent="0.25">
      <c r="A118" s="2" t="s">
        <v>39</v>
      </c>
      <c r="B118" s="2"/>
      <c r="C118" s="2"/>
      <c r="D118" s="2"/>
      <c r="E118" s="2"/>
      <c r="F118" s="49"/>
      <c r="G118" s="49"/>
      <c r="H118" s="49"/>
      <c r="I118" s="49"/>
      <c r="J118" s="48"/>
      <c r="K118" s="48"/>
      <c r="L118" s="48"/>
      <c r="M118" s="48"/>
      <c r="N118" s="48"/>
    </row>
    <row r="119" spans="1:14" x14ac:dyDescent="0.25">
      <c r="A119" s="2" t="s">
        <v>3</v>
      </c>
      <c r="B119" s="2"/>
      <c r="C119" s="2"/>
      <c r="D119" s="2"/>
      <c r="E119" s="2"/>
      <c r="F119" s="49"/>
      <c r="G119" s="49"/>
      <c r="H119" s="49"/>
      <c r="I119" s="49"/>
      <c r="J119" s="48"/>
      <c r="K119" s="48"/>
      <c r="L119" s="48"/>
      <c r="M119" s="48"/>
      <c r="N119" s="48"/>
    </row>
    <row r="120" spans="1:14" x14ac:dyDescent="0.25">
      <c r="A120" s="2" t="s">
        <v>4</v>
      </c>
      <c r="B120" s="2"/>
      <c r="C120" s="2"/>
      <c r="D120" s="2"/>
      <c r="E120" s="2"/>
      <c r="F120" s="49"/>
      <c r="G120" s="49"/>
      <c r="H120" s="49"/>
      <c r="I120" s="49"/>
      <c r="J120" s="48"/>
      <c r="K120" s="48"/>
      <c r="L120" s="48"/>
      <c r="M120" s="48"/>
      <c r="N120" s="48"/>
    </row>
    <row r="121" spans="1:14" x14ac:dyDescent="0.25">
      <c r="A121" s="2" t="s">
        <v>32</v>
      </c>
      <c r="B121" s="2"/>
      <c r="C121" s="2"/>
      <c r="D121" s="2"/>
      <c r="E121" s="2"/>
      <c r="F121" s="49"/>
      <c r="G121" s="49"/>
      <c r="H121" s="49"/>
      <c r="I121" s="49"/>
      <c r="J121" s="48"/>
      <c r="K121" s="48"/>
      <c r="L121" s="48"/>
      <c r="M121" s="48"/>
      <c r="N121" s="48"/>
    </row>
    <row r="122" spans="1:14" x14ac:dyDescent="0.25">
      <c r="A122" s="2" t="s">
        <v>74</v>
      </c>
      <c r="B122" s="2"/>
      <c r="C122" s="2"/>
      <c r="D122" s="2"/>
      <c r="E122" s="2"/>
      <c r="F122" s="49"/>
      <c r="G122" s="49"/>
      <c r="H122" s="49"/>
      <c r="I122" s="49"/>
      <c r="J122" s="48"/>
      <c r="K122" s="48"/>
      <c r="L122" s="48"/>
      <c r="M122" s="48"/>
      <c r="N122" s="48"/>
    </row>
    <row r="123" spans="1:14" x14ac:dyDescent="0.25">
      <c r="A123" s="2" t="s">
        <v>181</v>
      </c>
      <c r="B123" s="2"/>
      <c r="C123" s="2"/>
      <c r="D123" s="2"/>
      <c r="E123" s="2"/>
      <c r="F123" s="49"/>
      <c r="G123" s="49"/>
      <c r="H123" s="49"/>
      <c r="I123" s="49"/>
      <c r="J123" s="48"/>
      <c r="K123" s="48"/>
      <c r="L123" s="48"/>
      <c r="M123" s="48"/>
      <c r="N123" s="48"/>
    </row>
    <row r="124" spans="1:14" x14ac:dyDescent="0.25">
      <c r="A124" s="2" t="s">
        <v>99</v>
      </c>
      <c r="B124" s="2"/>
      <c r="C124" s="2"/>
      <c r="D124" s="2"/>
      <c r="E124" s="2"/>
      <c r="F124" s="49"/>
      <c r="G124" s="49"/>
      <c r="H124" s="49"/>
      <c r="I124" s="49"/>
      <c r="J124" s="48"/>
      <c r="K124" s="48"/>
      <c r="L124" s="48"/>
      <c r="M124" s="48"/>
      <c r="N124" s="48"/>
    </row>
    <row r="125" spans="1:14" x14ac:dyDescent="0.25">
      <c r="A125" s="2" t="s">
        <v>59</v>
      </c>
      <c r="B125" s="2"/>
      <c r="C125" s="2"/>
      <c r="D125" s="2"/>
      <c r="E125" s="6">
        <v>80</v>
      </c>
      <c r="F125" s="49"/>
      <c r="G125" s="49"/>
      <c r="H125" s="49"/>
    </row>
    <row r="126" spans="1:14" x14ac:dyDescent="0.25">
      <c r="A126" s="2" t="s">
        <v>33</v>
      </c>
      <c r="B126" s="2"/>
      <c r="C126" s="2"/>
      <c r="D126" s="2"/>
      <c r="E126" s="2"/>
      <c r="F126" s="49"/>
      <c r="G126" s="49"/>
      <c r="H126" s="49"/>
    </row>
    <row r="127" spans="1:14" x14ac:dyDescent="0.25">
      <c r="A127" s="2" t="s">
        <v>96</v>
      </c>
      <c r="B127" s="2"/>
      <c r="C127" s="2"/>
      <c r="D127" s="2"/>
      <c r="E127" s="2"/>
      <c r="F127" s="49"/>
      <c r="G127" s="49"/>
      <c r="H127" s="49"/>
    </row>
    <row r="128" spans="1:14" x14ac:dyDescent="0.25">
      <c r="A128" s="2" t="s">
        <v>97</v>
      </c>
      <c r="B128" s="2"/>
      <c r="C128" s="2"/>
      <c r="D128" s="2"/>
      <c r="E128" s="2"/>
      <c r="F128" s="49"/>
      <c r="G128" s="49"/>
      <c r="H128" s="49"/>
      <c r="I128" s="49"/>
      <c r="J128" s="48"/>
      <c r="K128" s="48"/>
      <c r="L128" s="48"/>
      <c r="M128" s="48"/>
      <c r="N128" s="48"/>
    </row>
    <row r="129" spans="1:14" x14ac:dyDescent="0.25">
      <c r="A129" s="2" t="s">
        <v>191</v>
      </c>
      <c r="B129" s="6">
        <f>130.676+37.334</f>
        <v>168.01</v>
      </c>
      <c r="C129" s="6"/>
      <c r="D129" s="2"/>
      <c r="E129" s="2"/>
      <c r="F129" s="49"/>
      <c r="G129" s="49"/>
      <c r="H129" s="49"/>
      <c r="I129" s="49"/>
      <c r="J129" s="48"/>
      <c r="K129" s="48"/>
      <c r="L129" s="48"/>
      <c r="M129" s="48"/>
      <c r="N129" s="48"/>
    </row>
    <row r="130" spans="1:14" x14ac:dyDescent="0.25">
      <c r="A130" s="2"/>
      <c r="B130" s="2"/>
      <c r="C130" s="2"/>
      <c r="D130" s="2"/>
      <c r="E130" s="2"/>
      <c r="F130" s="49"/>
      <c r="G130" s="49"/>
      <c r="H130" s="49"/>
      <c r="I130" s="49"/>
      <c r="J130" s="48"/>
      <c r="K130" s="48"/>
      <c r="L130" s="48"/>
      <c r="M130" s="48"/>
      <c r="N130" s="48"/>
    </row>
    <row r="131" spans="1:14" x14ac:dyDescent="0.25">
      <c r="A131" s="7" t="s">
        <v>7</v>
      </c>
      <c r="B131" s="8">
        <f>SUM(B117:B130)</f>
        <v>283.51</v>
      </c>
      <c r="C131" s="8">
        <f>SUM(C117:C130)</f>
        <v>239.4</v>
      </c>
      <c r="D131" s="8">
        <f>SUM(D117:D130)</f>
        <v>0</v>
      </c>
      <c r="E131" s="8">
        <f>SUM(E117:E130)</f>
        <v>80</v>
      </c>
      <c r="F131" s="49"/>
      <c r="G131" s="49"/>
      <c r="H131" s="49"/>
      <c r="I131" s="49"/>
      <c r="J131" s="48"/>
      <c r="K131" s="48"/>
      <c r="L131" s="48"/>
      <c r="M131" s="48"/>
      <c r="N131" s="48"/>
    </row>
    <row r="132" spans="1:14" x14ac:dyDescent="0.25">
      <c r="A132" s="15" t="s">
        <v>5</v>
      </c>
      <c r="B132" s="4"/>
      <c r="C132" s="4"/>
      <c r="D132" s="4"/>
      <c r="E132" s="4"/>
      <c r="F132" s="49"/>
      <c r="G132" s="49"/>
      <c r="H132" s="49"/>
      <c r="I132" s="49"/>
      <c r="J132" s="48"/>
      <c r="K132" s="48"/>
      <c r="L132" s="48"/>
      <c r="M132" s="48"/>
      <c r="N132" s="48"/>
    </row>
    <row r="133" spans="1:14" x14ac:dyDescent="0.25">
      <c r="A133" s="9" t="s">
        <v>8</v>
      </c>
      <c r="B133" s="58">
        <v>39.491280000000003</v>
      </c>
      <c r="C133" s="86">
        <v>40.5</v>
      </c>
      <c r="D133" s="86"/>
      <c r="E133" s="86"/>
      <c r="F133" s="49"/>
      <c r="G133" s="49"/>
      <c r="H133" s="49"/>
    </row>
    <row r="134" spans="1:14" x14ac:dyDescent="0.25">
      <c r="A134" s="2" t="s">
        <v>22</v>
      </c>
      <c r="B134" s="58">
        <v>40.049999999999997</v>
      </c>
      <c r="C134" s="58">
        <f>74.25+74.25-40.05</f>
        <v>108.45</v>
      </c>
      <c r="D134" s="58">
        <v>74.25</v>
      </c>
      <c r="E134" s="58">
        <v>69.723089999999999</v>
      </c>
      <c r="F134" s="49"/>
      <c r="G134" s="49"/>
      <c r="H134" s="49"/>
    </row>
    <row r="135" spans="1:14" x14ac:dyDescent="0.25">
      <c r="A135" s="85" t="s">
        <v>103</v>
      </c>
      <c r="B135" s="86"/>
      <c r="C135" s="58">
        <v>270</v>
      </c>
      <c r="D135" s="86"/>
      <c r="E135" s="58">
        <v>45</v>
      </c>
      <c r="F135" s="49"/>
      <c r="G135" s="49"/>
      <c r="H135" s="49"/>
    </row>
    <row r="136" spans="1:14" x14ac:dyDescent="0.25">
      <c r="A136" s="61" t="s">
        <v>147</v>
      </c>
      <c r="B136" s="86"/>
      <c r="C136" s="86"/>
      <c r="D136" s="86"/>
      <c r="E136" s="58">
        <v>198</v>
      </c>
      <c r="F136" s="67"/>
      <c r="G136" s="68"/>
      <c r="H136" s="69"/>
      <c r="I136" s="49"/>
      <c r="J136" s="48"/>
      <c r="K136" s="48"/>
      <c r="L136" s="48"/>
      <c r="M136" s="48"/>
      <c r="N136" s="48"/>
    </row>
    <row r="137" spans="1:14" x14ac:dyDescent="0.25">
      <c r="A137" s="61" t="s">
        <v>152</v>
      </c>
      <c r="B137" s="86"/>
      <c r="C137" s="86"/>
      <c r="D137" s="86"/>
      <c r="E137" s="58">
        <v>13</v>
      </c>
      <c r="F137" s="70">
        <f>SUM(B136:E137)</f>
        <v>211</v>
      </c>
      <c r="G137" s="71" t="s">
        <v>156</v>
      </c>
      <c r="H137" s="72"/>
      <c r="I137" s="49"/>
      <c r="J137" s="48"/>
      <c r="K137" s="48"/>
      <c r="L137" s="48"/>
      <c r="M137" s="48"/>
      <c r="N137" s="48"/>
    </row>
    <row r="138" spans="1:14" x14ac:dyDescent="0.25">
      <c r="A138" s="9" t="s">
        <v>29</v>
      </c>
      <c r="B138" s="86"/>
      <c r="C138" s="58">
        <v>90</v>
      </c>
      <c r="D138" s="86"/>
      <c r="E138" s="86"/>
      <c r="F138" s="49"/>
      <c r="G138" s="49"/>
      <c r="H138" s="49"/>
      <c r="I138" s="49"/>
      <c r="J138" s="48"/>
      <c r="K138" s="48"/>
      <c r="L138" s="48"/>
      <c r="M138" s="48"/>
      <c r="N138" s="48"/>
    </row>
    <row r="139" spans="1:14" x14ac:dyDescent="0.25">
      <c r="A139" s="10" t="s">
        <v>189</v>
      </c>
      <c r="B139" s="86"/>
      <c r="C139" s="58">
        <v>56.581000000000003</v>
      </c>
      <c r="D139" s="86"/>
      <c r="E139" s="86"/>
      <c r="F139" s="49"/>
      <c r="G139" s="49"/>
      <c r="H139" s="49"/>
      <c r="I139" s="49"/>
      <c r="J139" s="48"/>
      <c r="K139" s="48"/>
      <c r="L139" s="48"/>
      <c r="M139" s="48"/>
      <c r="N139" s="48"/>
    </row>
    <row r="140" spans="1:14" x14ac:dyDescent="0.25">
      <c r="A140" s="10" t="s">
        <v>10</v>
      </c>
      <c r="B140" s="58">
        <v>10</v>
      </c>
      <c r="C140" s="58">
        <v>15</v>
      </c>
      <c r="D140" s="58">
        <v>15</v>
      </c>
      <c r="E140" s="58">
        <v>15</v>
      </c>
      <c r="F140" s="49"/>
      <c r="G140" s="49"/>
      <c r="H140" s="49"/>
      <c r="I140" s="49"/>
      <c r="J140" s="48"/>
      <c r="K140" s="48"/>
      <c r="L140" s="48"/>
      <c r="M140" s="48"/>
      <c r="N140" s="48"/>
    </row>
    <row r="141" spans="1:14" x14ac:dyDescent="0.25">
      <c r="A141" s="2" t="s">
        <v>80</v>
      </c>
      <c r="B141" s="86"/>
      <c r="C141" s="58">
        <v>11</v>
      </c>
      <c r="D141" s="86"/>
      <c r="E141" s="58">
        <v>11</v>
      </c>
      <c r="F141" s="49"/>
      <c r="G141" s="49"/>
      <c r="H141" s="49"/>
      <c r="I141" s="49"/>
      <c r="J141" s="48"/>
      <c r="K141" s="48"/>
      <c r="L141" s="48"/>
      <c r="M141" s="48"/>
      <c r="N141" s="48"/>
    </row>
    <row r="142" spans="1:14" x14ac:dyDescent="0.25">
      <c r="A142" s="10" t="s">
        <v>9</v>
      </c>
      <c r="B142" s="86"/>
      <c r="C142" s="58">
        <v>7.9674500000000004</v>
      </c>
      <c r="D142" s="86"/>
      <c r="E142" s="86"/>
      <c r="F142" s="49"/>
      <c r="G142" s="49"/>
      <c r="H142" s="49"/>
      <c r="I142" s="49"/>
      <c r="J142" s="48"/>
      <c r="K142" s="48"/>
      <c r="L142" s="48"/>
      <c r="M142" s="48"/>
      <c r="N142" s="48"/>
    </row>
    <row r="143" spans="1:14" x14ac:dyDescent="0.25">
      <c r="A143" s="2" t="s">
        <v>43</v>
      </c>
      <c r="B143" s="58">
        <v>8</v>
      </c>
      <c r="C143" s="86"/>
      <c r="D143" s="86"/>
      <c r="E143" s="86"/>
      <c r="F143" s="49"/>
      <c r="G143" s="49"/>
      <c r="H143" s="49"/>
      <c r="I143" s="49"/>
      <c r="J143" s="48"/>
      <c r="K143" s="48"/>
      <c r="L143" s="48"/>
      <c r="M143" s="48"/>
      <c r="N143" s="48"/>
    </row>
    <row r="144" spans="1:14" x14ac:dyDescent="0.25">
      <c r="A144" s="2" t="s">
        <v>111</v>
      </c>
      <c r="B144" s="86"/>
      <c r="C144" s="86"/>
      <c r="D144" s="86"/>
      <c r="E144" s="86"/>
      <c r="F144" s="49"/>
      <c r="G144" s="49"/>
      <c r="H144" s="49"/>
      <c r="I144" s="49"/>
      <c r="J144" s="48"/>
      <c r="K144" s="48"/>
      <c r="L144" s="48"/>
      <c r="M144" s="48"/>
      <c r="N144" s="48"/>
    </row>
    <row r="145" spans="1:14" x14ac:dyDescent="0.25">
      <c r="A145" s="2" t="s">
        <v>73</v>
      </c>
      <c r="B145" s="58">
        <v>0.93035000000000001</v>
      </c>
      <c r="C145" s="86"/>
      <c r="D145" s="86"/>
      <c r="F145" s="49"/>
      <c r="G145" s="49"/>
      <c r="H145" s="49"/>
      <c r="I145" s="49"/>
      <c r="J145" s="48"/>
      <c r="K145" s="48"/>
      <c r="L145" s="48"/>
      <c r="M145" s="48"/>
      <c r="N145" s="48"/>
    </row>
    <row r="146" spans="1:14" x14ac:dyDescent="0.25">
      <c r="A146" s="2" t="s">
        <v>62</v>
      </c>
      <c r="B146" s="86"/>
      <c r="C146" s="86"/>
      <c r="D146" s="86"/>
      <c r="E146" s="86"/>
      <c r="F146" s="49"/>
      <c r="G146" s="49"/>
      <c r="H146" s="49"/>
      <c r="I146" s="49"/>
      <c r="J146" s="48"/>
      <c r="K146" s="48"/>
      <c r="L146" s="48"/>
      <c r="M146" s="48"/>
      <c r="N146" s="48"/>
    </row>
    <row r="147" spans="1:14" x14ac:dyDescent="0.25">
      <c r="A147" s="2" t="s">
        <v>52</v>
      </c>
      <c r="B147" s="86"/>
      <c r="C147" s="86"/>
      <c r="D147" s="86"/>
      <c r="E147" s="58">
        <v>5.5</v>
      </c>
      <c r="F147" s="49"/>
      <c r="G147" s="49"/>
      <c r="H147" s="49"/>
      <c r="I147" s="49"/>
      <c r="J147" s="48"/>
      <c r="K147" s="48"/>
      <c r="L147" s="48"/>
      <c r="M147" s="48"/>
      <c r="N147" s="48"/>
    </row>
    <row r="148" spans="1:14" x14ac:dyDescent="0.25">
      <c r="A148" s="10" t="s">
        <v>12</v>
      </c>
      <c r="B148" s="86"/>
      <c r="C148" s="58">
        <v>4</v>
      </c>
      <c r="D148" s="86"/>
      <c r="E148" s="58">
        <v>4</v>
      </c>
      <c r="F148" s="49"/>
      <c r="G148" s="49"/>
      <c r="H148" s="49"/>
      <c r="I148" s="49"/>
      <c r="J148" s="48"/>
      <c r="K148" s="48"/>
      <c r="L148" s="48"/>
      <c r="M148" s="48"/>
      <c r="N148" s="48"/>
    </row>
    <row r="149" spans="1:14" x14ac:dyDescent="0.25">
      <c r="A149" s="59" t="s">
        <v>145</v>
      </c>
      <c r="B149" s="86"/>
      <c r="C149" s="86"/>
      <c r="D149" s="86"/>
      <c r="E149" s="58">
        <v>40</v>
      </c>
      <c r="F149" s="67"/>
      <c r="G149" s="68"/>
      <c r="H149" s="69"/>
      <c r="I149" s="49"/>
      <c r="J149" s="48"/>
      <c r="K149" s="48"/>
      <c r="L149" s="48"/>
      <c r="M149" s="48"/>
      <c r="N149" s="48"/>
    </row>
    <row r="150" spans="1:14" x14ac:dyDescent="0.25">
      <c r="A150" s="59" t="s">
        <v>146</v>
      </c>
      <c r="B150" s="86"/>
      <c r="C150" s="86"/>
      <c r="D150" s="86"/>
      <c r="E150" s="58">
        <v>60</v>
      </c>
      <c r="F150" s="70">
        <f>SUM(B149:E150)</f>
        <v>100</v>
      </c>
      <c r="G150" s="71" t="s">
        <v>155</v>
      </c>
      <c r="H150" s="72"/>
      <c r="I150" s="49"/>
      <c r="J150" s="48"/>
      <c r="K150" s="48"/>
      <c r="L150" s="48"/>
      <c r="M150" s="48"/>
      <c r="N150" s="48"/>
    </row>
    <row r="151" spans="1:14" x14ac:dyDescent="0.25">
      <c r="A151" s="2" t="s">
        <v>24</v>
      </c>
      <c r="B151" s="86"/>
      <c r="C151" s="58">
        <v>38.455159999999999</v>
      </c>
      <c r="D151" s="86"/>
      <c r="E151" s="99">
        <v>33.975900000000003</v>
      </c>
      <c r="F151" s="64"/>
      <c r="G151" s="64"/>
      <c r="H151" s="64"/>
      <c r="I151" s="49"/>
      <c r="J151" s="48"/>
      <c r="K151" s="48"/>
      <c r="L151" s="48"/>
      <c r="M151" s="48"/>
      <c r="N151" s="48"/>
    </row>
    <row r="152" spans="1:14" x14ac:dyDescent="0.25">
      <c r="A152" s="2" t="s">
        <v>68</v>
      </c>
      <c r="B152" s="86"/>
      <c r="C152" s="86"/>
      <c r="D152" s="58">
        <v>19.004535000000001</v>
      </c>
      <c r="E152" s="86"/>
      <c r="F152" s="64"/>
      <c r="G152" s="64"/>
      <c r="H152" s="64"/>
      <c r="I152" s="49"/>
      <c r="J152" s="48"/>
      <c r="K152" s="48"/>
      <c r="L152" s="48"/>
      <c r="M152" s="48"/>
      <c r="N152" s="48"/>
    </row>
    <row r="153" spans="1:14" x14ac:dyDescent="0.25">
      <c r="A153" s="59" t="s">
        <v>148</v>
      </c>
      <c r="B153" s="86"/>
      <c r="C153" s="86"/>
      <c r="D153" s="86"/>
      <c r="F153" s="67"/>
      <c r="G153" s="68"/>
      <c r="H153" s="69"/>
      <c r="I153" s="49"/>
      <c r="J153" s="48"/>
      <c r="K153" s="48"/>
      <c r="L153" s="48"/>
      <c r="M153" s="48"/>
      <c r="N153" s="48"/>
    </row>
    <row r="154" spans="1:14" x14ac:dyDescent="0.25">
      <c r="A154" s="59" t="s">
        <v>149</v>
      </c>
      <c r="B154" s="58">
        <f>13.60497+1.85994+11.8524</f>
        <v>27.317309999999999</v>
      </c>
      <c r="C154" s="86"/>
      <c r="D154" s="86"/>
      <c r="E154" s="58">
        <f>0.81158+1.0915</f>
        <v>1.9030799999999999</v>
      </c>
      <c r="F154" s="70">
        <f>SUM(B153:E154)</f>
        <v>29.220389999999998</v>
      </c>
      <c r="G154" s="71" t="s">
        <v>157</v>
      </c>
      <c r="H154" s="72"/>
      <c r="I154" s="49"/>
      <c r="J154" s="48"/>
      <c r="K154" s="48"/>
      <c r="L154" s="48"/>
      <c r="M154" s="48"/>
      <c r="N154" s="48"/>
    </row>
    <row r="155" spans="1:14" x14ac:dyDescent="0.25">
      <c r="A155" s="2" t="s">
        <v>25</v>
      </c>
      <c r="B155" s="86"/>
      <c r="C155" s="58">
        <v>8.2565550000000005</v>
      </c>
      <c r="D155" s="86"/>
      <c r="F155" s="64"/>
      <c r="G155" s="64"/>
      <c r="H155" s="64"/>
      <c r="I155" s="49"/>
      <c r="J155" s="48"/>
      <c r="K155" s="48"/>
      <c r="L155" s="48"/>
      <c r="M155" s="48"/>
      <c r="N155" s="48"/>
    </row>
    <row r="156" spans="1:14" x14ac:dyDescent="0.25">
      <c r="A156" s="10" t="s">
        <v>28</v>
      </c>
      <c r="B156" s="86"/>
      <c r="C156" s="58">
        <v>15</v>
      </c>
      <c r="D156" s="86"/>
      <c r="E156" s="86"/>
      <c r="F156" s="64"/>
      <c r="G156" s="64"/>
      <c r="H156" s="64"/>
      <c r="I156" s="49"/>
      <c r="J156" s="48"/>
      <c r="K156" s="48"/>
      <c r="L156" s="48"/>
      <c r="M156" s="48"/>
      <c r="N156" s="48"/>
    </row>
    <row r="157" spans="1:14" x14ac:dyDescent="0.25">
      <c r="A157" s="59" t="s">
        <v>151</v>
      </c>
      <c r="B157" s="86"/>
      <c r="C157" s="89"/>
      <c r="D157" s="86"/>
      <c r="E157" s="86"/>
      <c r="F157" s="67"/>
      <c r="G157" s="68"/>
      <c r="H157" s="69"/>
      <c r="I157" s="49"/>
      <c r="J157" s="48"/>
      <c r="K157" s="48"/>
      <c r="L157" s="48"/>
      <c r="M157" s="48"/>
      <c r="N157" s="48"/>
    </row>
    <row r="158" spans="1:14" x14ac:dyDescent="0.25">
      <c r="A158" s="59" t="s">
        <v>150</v>
      </c>
      <c r="B158" s="58">
        <f>2.58668+1.17829+0.65867+0.40222</f>
        <v>4.8258599999999996</v>
      </c>
      <c r="C158" s="86"/>
      <c r="D158" s="86"/>
      <c r="E158" s="58">
        <v>1.2813000000000001</v>
      </c>
      <c r="F158" s="70">
        <f>SUM(B157:E158)</f>
        <v>6.1071599999999995</v>
      </c>
      <c r="G158" s="71" t="s">
        <v>158</v>
      </c>
      <c r="H158" s="72"/>
      <c r="I158" s="49"/>
      <c r="J158" s="48"/>
      <c r="K158" s="48"/>
      <c r="L158" s="48"/>
      <c r="M158" s="48"/>
      <c r="N158" s="48"/>
    </row>
    <row r="159" spans="1:14" x14ac:dyDescent="0.25">
      <c r="A159" s="2" t="s">
        <v>94</v>
      </c>
      <c r="B159" s="86"/>
      <c r="C159" s="86"/>
      <c r="D159" s="86"/>
      <c r="E159" s="86"/>
      <c r="F159" s="49"/>
      <c r="G159" s="49"/>
      <c r="H159" s="49"/>
      <c r="I159" s="49"/>
      <c r="J159" s="48"/>
      <c r="K159" s="48"/>
      <c r="L159" s="48"/>
      <c r="M159" s="48"/>
      <c r="N159" s="48"/>
    </row>
    <row r="160" spans="1:14" x14ac:dyDescent="0.25">
      <c r="A160" s="100" t="s">
        <v>192</v>
      </c>
      <c r="B160" s="101">
        <v>24.254999999999999</v>
      </c>
      <c r="C160" s="86"/>
      <c r="D160" s="86"/>
      <c r="E160" s="86"/>
      <c r="F160" s="49"/>
      <c r="G160" s="49"/>
      <c r="H160" s="49"/>
      <c r="I160" s="49"/>
      <c r="J160" s="48"/>
      <c r="K160" s="48"/>
      <c r="L160" s="48"/>
      <c r="M160" s="48"/>
      <c r="N160" s="48"/>
    </row>
    <row r="161" spans="1:14" x14ac:dyDescent="0.25">
      <c r="A161" s="100" t="s">
        <v>193</v>
      </c>
      <c r="B161" s="101"/>
      <c r="C161" s="101">
        <v>90</v>
      </c>
      <c r="D161" s="86"/>
      <c r="E161" s="86"/>
      <c r="F161" s="49"/>
      <c r="G161" s="49"/>
      <c r="H161" s="49"/>
      <c r="I161" s="49"/>
      <c r="J161" s="48"/>
      <c r="K161" s="48"/>
      <c r="L161" s="48"/>
      <c r="M161" s="48"/>
      <c r="N161" s="48"/>
    </row>
    <row r="162" spans="1:14" x14ac:dyDescent="0.25">
      <c r="A162" s="2" t="s">
        <v>98</v>
      </c>
      <c r="B162" s="86"/>
      <c r="C162" s="58">
        <v>4</v>
      </c>
      <c r="D162" s="86"/>
      <c r="E162" s="86"/>
      <c r="F162" s="49"/>
      <c r="G162" s="49"/>
      <c r="H162" s="49"/>
      <c r="I162" s="49"/>
      <c r="J162" s="48"/>
      <c r="K162" s="48"/>
      <c r="L162" s="48"/>
      <c r="M162" s="48"/>
      <c r="N162" s="48"/>
    </row>
    <row r="163" spans="1:14" x14ac:dyDescent="0.25">
      <c r="A163" s="2" t="s">
        <v>42</v>
      </c>
      <c r="B163" s="86"/>
      <c r="C163" s="58">
        <v>4.7276600000000002</v>
      </c>
      <c r="D163" s="86"/>
      <c r="E163" s="86"/>
      <c r="F163" s="49"/>
      <c r="G163" s="49"/>
      <c r="H163" s="49"/>
      <c r="I163" s="49"/>
      <c r="J163" s="48"/>
      <c r="K163" s="48"/>
      <c r="L163" s="48"/>
      <c r="M163" s="48"/>
      <c r="N163" s="48"/>
    </row>
    <row r="164" spans="1:14" x14ac:dyDescent="0.25">
      <c r="A164" s="2" t="s">
        <v>76</v>
      </c>
      <c r="B164" s="86"/>
      <c r="C164" s="58">
        <v>1</v>
      </c>
      <c r="D164" s="86"/>
      <c r="E164" s="86"/>
      <c r="F164" s="49"/>
      <c r="G164" s="49"/>
      <c r="H164" s="49"/>
      <c r="I164" s="49"/>
      <c r="J164" s="48"/>
      <c r="K164" s="48"/>
      <c r="L164" s="48"/>
      <c r="M164" s="48"/>
      <c r="N164" s="48"/>
    </row>
    <row r="165" spans="1:14" x14ac:dyDescent="0.25">
      <c r="A165" s="2" t="s">
        <v>30</v>
      </c>
      <c r="B165" s="86"/>
      <c r="C165" s="58">
        <v>120</v>
      </c>
      <c r="D165" s="86"/>
      <c r="E165" s="86"/>
      <c r="F165" s="49"/>
      <c r="G165" s="49"/>
      <c r="H165" s="49"/>
      <c r="I165" s="49"/>
      <c r="J165" s="48"/>
      <c r="K165" s="48"/>
      <c r="L165" s="48"/>
      <c r="M165" s="48"/>
      <c r="N165" s="48"/>
    </row>
    <row r="166" spans="1:14" x14ac:dyDescent="0.25">
      <c r="A166" s="9" t="s">
        <v>15</v>
      </c>
      <c r="B166" s="86"/>
      <c r="C166" s="58">
        <v>152.30052000000001</v>
      </c>
      <c r="D166" s="86"/>
      <c r="E166" s="86"/>
      <c r="F166" s="49"/>
      <c r="G166" s="49"/>
      <c r="H166" s="49"/>
      <c r="I166" s="49"/>
      <c r="J166" s="48"/>
      <c r="K166" s="48"/>
      <c r="L166" s="48"/>
      <c r="M166" s="48"/>
      <c r="N166" s="48"/>
    </row>
    <row r="167" spans="1:14" x14ac:dyDescent="0.25">
      <c r="A167" s="2" t="s">
        <v>34</v>
      </c>
      <c r="B167" s="58">
        <v>3</v>
      </c>
      <c r="C167" s="90">
        <v>52.078060000000001</v>
      </c>
      <c r="D167" s="86"/>
      <c r="E167" s="90">
        <v>43.585509999999999</v>
      </c>
      <c r="F167" s="49"/>
      <c r="G167" s="49"/>
      <c r="H167" s="49"/>
      <c r="I167" s="49"/>
      <c r="J167" s="48"/>
      <c r="K167" s="48"/>
      <c r="L167" s="48"/>
      <c r="M167" s="48"/>
      <c r="N167" s="48"/>
    </row>
    <row r="168" spans="1:14" x14ac:dyDescent="0.25">
      <c r="A168" s="10" t="s">
        <v>13</v>
      </c>
      <c r="B168" s="86"/>
      <c r="C168" s="86"/>
      <c r="D168" s="58">
        <v>7</v>
      </c>
      <c r="E168" s="86"/>
      <c r="F168" s="49"/>
      <c r="G168" s="49"/>
      <c r="H168" s="49"/>
      <c r="I168" s="49"/>
      <c r="J168" s="48"/>
      <c r="K168" s="48"/>
      <c r="L168" s="48"/>
      <c r="M168" s="48"/>
      <c r="N168" s="48"/>
    </row>
    <row r="169" spans="1:14" x14ac:dyDescent="0.25">
      <c r="A169" s="2" t="s">
        <v>41</v>
      </c>
      <c r="B169" s="86"/>
      <c r="C169" s="58">
        <v>4</v>
      </c>
      <c r="E169" s="86"/>
      <c r="F169" s="49"/>
      <c r="G169" s="49"/>
      <c r="H169" s="49"/>
      <c r="I169" s="49"/>
      <c r="J169" s="48"/>
      <c r="K169" s="48"/>
      <c r="L169" s="48"/>
      <c r="M169" s="48"/>
      <c r="N169" s="48"/>
    </row>
    <row r="170" spans="1:14" x14ac:dyDescent="0.25">
      <c r="A170" s="2" t="s">
        <v>36</v>
      </c>
      <c r="B170" s="86"/>
      <c r="C170" s="58">
        <v>2</v>
      </c>
      <c r="D170" s="86"/>
      <c r="E170" s="58">
        <v>2</v>
      </c>
      <c r="F170" s="49"/>
      <c r="G170" s="49"/>
      <c r="H170" s="49"/>
      <c r="I170" s="49"/>
      <c r="J170" s="48"/>
      <c r="K170" s="48"/>
      <c r="L170" s="48"/>
      <c r="M170" s="48"/>
      <c r="N170" s="48"/>
    </row>
    <row r="171" spans="1:14" x14ac:dyDescent="0.25">
      <c r="A171" s="2" t="s">
        <v>71</v>
      </c>
      <c r="B171" s="86"/>
      <c r="C171" s="86"/>
      <c r="D171" s="86"/>
      <c r="E171" s="86"/>
      <c r="F171" s="49"/>
      <c r="G171" s="49"/>
      <c r="H171" s="49"/>
      <c r="I171" s="49"/>
      <c r="J171" s="48"/>
      <c r="K171" s="48"/>
      <c r="L171" s="48"/>
      <c r="M171" s="48"/>
      <c r="N171" s="48"/>
    </row>
    <row r="172" spans="1:14" s="1" customFormat="1" x14ac:dyDescent="0.25">
      <c r="A172" s="2" t="s">
        <v>54</v>
      </c>
      <c r="B172" s="86"/>
      <c r="C172" s="58">
        <v>2</v>
      </c>
      <c r="D172" s="86"/>
      <c r="E172" s="58">
        <v>2</v>
      </c>
      <c r="F172" s="49"/>
      <c r="G172" s="49"/>
      <c r="H172" s="49"/>
      <c r="I172" s="49"/>
      <c r="J172" s="48"/>
      <c r="K172" s="48"/>
      <c r="L172" s="48"/>
      <c r="M172" s="48"/>
      <c r="N172" s="48"/>
    </row>
    <row r="173" spans="1:14" x14ac:dyDescent="0.25">
      <c r="A173" s="2" t="s">
        <v>23</v>
      </c>
      <c r="B173" s="86"/>
      <c r="C173" s="58">
        <v>1.2144600000000001</v>
      </c>
      <c r="D173" s="86"/>
      <c r="E173" s="86"/>
      <c r="F173" s="49"/>
      <c r="G173" s="49"/>
      <c r="H173" s="49"/>
    </row>
    <row r="174" spans="1:14" s="1" customFormat="1" x14ac:dyDescent="0.25">
      <c r="A174" s="2" t="s">
        <v>93</v>
      </c>
      <c r="B174" s="58">
        <v>0.32400000000000001</v>
      </c>
      <c r="C174" s="86"/>
      <c r="D174" s="86"/>
      <c r="E174" s="86"/>
      <c r="F174" s="49"/>
      <c r="G174" s="49"/>
      <c r="H174" s="49"/>
      <c r="I174" s="49"/>
      <c r="J174" s="48"/>
      <c r="K174" s="48"/>
      <c r="L174" s="48"/>
      <c r="M174" s="48"/>
      <c r="N174" s="48"/>
    </row>
    <row r="175" spans="1:14" x14ac:dyDescent="0.25">
      <c r="A175" s="2" t="s">
        <v>84</v>
      </c>
      <c r="B175" s="58">
        <v>0.46</v>
      </c>
      <c r="C175" s="86"/>
      <c r="D175" s="86"/>
      <c r="E175" s="86"/>
      <c r="F175" s="49"/>
      <c r="G175" s="49"/>
      <c r="H175" s="49"/>
    </row>
    <row r="176" spans="1:14" x14ac:dyDescent="0.25">
      <c r="A176" s="2" t="s">
        <v>190</v>
      </c>
      <c r="C176" s="58">
        <v>18.899999999999999</v>
      </c>
      <c r="D176" s="86"/>
      <c r="E176" s="86"/>
      <c r="F176" s="49"/>
      <c r="G176" s="49"/>
      <c r="H176" s="49"/>
    </row>
    <row r="177" spans="1:14" x14ac:dyDescent="0.25">
      <c r="A177" s="2" t="s">
        <v>183</v>
      </c>
      <c r="B177" s="86"/>
      <c r="C177" s="86"/>
      <c r="D177" s="86"/>
      <c r="E177" s="58">
        <v>9</v>
      </c>
      <c r="F177" s="49"/>
      <c r="G177" s="49"/>
      <c r="H177" s="49"/>
    </row>
    <row r="178" spans="1:14" x14ac:dyDescent="0.25">
      <c r="A178" s="2" t="s">
        <v>202</v>
      </c>
      <c r="B178" s="58">
        <v>9.0083199999999994</v>
      </c>
      <c r="C178" s="86"/>
      <c r="D178" s="86"/>
      <c r="E178" s="58"/>
      <c r="F178" s="49"/>
      <c r="G178" s="49"/>
      <c r="H178" s="49"/>
    </row>
    <row r="179" spans="1:14" x14ac:dyDescent="0.25">
      <c r="A179" s="2" t="s">
        <v>188</v>
      </c>
      <c r="B179" s="58">
        <v>8.0798699999999997</v>
      </c>
      <c r="C179" s="86"/>
      <c r="D179" s="86"/>
      <c r="E179" s="86"/>
      <c r="F179" s="49"/>
      <c r="G179" s="49"/>
      <c r="H179" s="49"/>
    </row>
    <row r="180" spans="1:14" hidden="1" x14ac:dyDescent="0.25">
      <c r="A180" s="85" t="s">
        <v>182</v>
      </c>
      <c r="B180" s="86"/>
      <c r="C180" s="86"/>
      <c r="D180" s="86"/>
      <c r="E180" s="86"/>
      <c r="F180" s="49"/>
      <c r="G180" s="49"/>
      <c r="H180" s="49"/>
    </row>
    <row r="181" spans="1:14" hidden="1" x14ac:dyDescent="0.25">
      <c r="A181" s="2" t="s">
        <v>86</v>
      </c>
      <c r="B181" s="86"/>
      <c r="C181" s="86"/>
      <c r="D181" s="86"/>
      <c r="E181" s="86"/>
      <c r="F181" s="49"/>
      <c r="G181" s="49"/>
      <c r="H181" s="49"/>
      <c r="I181" s="49"/>
      <c r="J181" s="48"/>
      <c r="K181" s="48"/>
      <c r="L181" s="48"/>
      <c r="M181" s="48"/>
      <c r="N181" s="48"/>
    </row>
    <row r="182" spans="1:14" hidden="1" x14ac:dyDescent="0.25">
      <c r="A182" s="2" t="s">
        <v>100</v>
      </c>
      <c r="B182" s="86"/>
      <c r="C182" s="86"/>
      <c r="D182" s="86"/>
      <c r="E182" s="86"/>
      <c r="F182" s="49"/>
      <c r="G182" s="49"/>
      <c r="H182" s="49"/>
    </row>
    <row r="183" spans="1:14" hidden="1" x14ac:dyDescent="0.25">
      <c r="A183" s="2" t="s">
        <v>35</v>
      </c>
      <c r="B183" s="86"/>
      <c r="C183" s="86"/>
      <c r="D183" s="86"/>
      <c r="E183" s="86"/>
      <c r="F183" s="49"/>
      <c r="G183" s="49"/>
      <c r="H183" s="49"/>
    </row>
    <row r="184" spans="1:14" hidden="1" x14ac:dyDescent="0.25">
      <c r="A184" s="2" t="s">
        <v>91</v>
      </c>
      <c r="B184" s="86"/>
      <c r="C184" s="86"/>
      <c r="D184" s="86"/>
      <c r="E184" s="86"/>
      <c r="F184" s="49"/>
      <c r="G184" s="49"/>
      <c r="H184" s="49"/>
    </row>
    <row r="185" spans="1:14" hidden="1" x14ac:dyDescent="0.25">
      <c r="A185" s="2" t="s">
        <v>66</v>
      </c>
      <c r="B185" s="86"/>
      <c r="C185" s="86"/>
      <c r="D185" s="86"/>
      <c r="E185" s="86"/>
      <c r="F185" s="49"/>
      <c r="G185" s="49"/>
      <c r="H185" s="49"/>
    </row>
    <row r="186" spans="1:14" hidden="1" x14ac:dyDescent="0.25">
      <c r="A186" s="2" t="s">
        <v>166</v>
      </c>
      <c r="B186" s="86"/>
      <c r="C186" s="86"/>
      <c r="D186" s="86"/>
      <c r="E186" s="86"/>
      <c r="F186" s="49"/>
      <c r="G186" s="49"/>
      <c r="H186" s="49"/>
    </row>
    <row r="187" spans="1:14" hidden="1" x14ac:dyDescent="0.25">
      <c r="A187" s="2" t="s">
        <v>40</v>
      </c>
      <c r="B187" s="86"/>
      <c r="C187" s="86"/>
      <c r="D187" s="86"/>
      <c r="E187" s="2"/>
      <c r="F187" s="49"/>
      <c r="G187" s="49"/>
      <c r="H187" s="49"/>
    </row>
    <row r="188" spans="1:14" hidden="1" x14ac:dyDescent="0.25">
      <c r="A188" s="2" t="s">
        <v>48</v>
      </c>
      <c r="B188" s="86"/>
      <c r="C188" s="86"/>
      <c r="D188" s="86"/>
      <c r="F188" s="49"/>
      <c r="G188" s="49"/>
      <c r="H188" s="49"/>
    </row>
    <row r="189" spans="1:14" hidden="1" x14ac:dyDescent="0.25">
      <c r="A189" s="2" t="s">
        <v>169</v>
      </c>
      <c r="B189" s="86"/>
      <c r="C189" s="86"/>
      <c r="D189" s="86"/>
      <c r="E189" s="86"/>
      <c r="F189" s="49"/>
      <c r="G189" s="49"/>
      <c r="H189" s="49"/>
      <c r="I189" s="49"/>
      <c r="J189" s="48"/>
      <c r="K189" s="48"/>
      <c r="L189" s="48"/>
      <c r="M189" s="48"/>
      <c r="N189" s="48"/>
    </row>
    <row r="190" spans="1:14" hidden="1" x14ac:dyDescent="0.25">
      <c r="A190" s="2" t="s">
        <v>170</v>
      </c>
      <c r="B190" s="86"/>
      <c r="C190" s="86"/>
      <c r="D190" s="86"/>
      <c r="E190" s="86"/>
      <c r="F190" s="49"/>
      <c r="G190" s="49"/>
      <c r="H190" s="49"/>
      <c r="I190" s="49"/>
      <c r="J190" s="48"/>
      <c r="K190" s="48"/>
      <c r="L190" s="48"/>
      <c r="M190" s="48"/>
      <c r="N190" s="48"/>
    </row>
    <row r="191" spans="1:14" hidden="1" x14ac:dyDescent="0.25">
      <c r="A191" s="2" t="s">
        <v>171</v>
      </c>
      <c r="B191" s="86"/>
      <c r="C191" s="86"/>
      <c r="D191" s="86"/>
      <c r="E191" s="86"/>
      <c r="F191" s="49"/>
      <c r="G191" s="49"/>
      <c r="H191" s="49"/>
      <c r="I191" s="49"/>
      <c r="J191" s="48"/>
      <c r="K191" s="48"/>
      <c r="L191" s="48"/>
      <c r="M191" s="48"/>
      <c r="N191" s="48"/>
    </row>
    <row r="192" spans="1:14" hidden="1" x14ac:dyDescent="0.25">
      <c r="A192" s="2" t="s">
        <v>45</v>
      </c>
      <c r="B192" s="86"/>
      <c r="C192" s="86"/>
      <c r="D192" s="86"/>
      <c r="E192" s="86"/>
      <c r="F192" s="49"/>
      <c r="G192" s="49"/>
      <c r="H192" s="49"/>
      <c r="I192" s="49"/>
      <c r="J192" s="48"/>
      <c r="K192" s="48"/>
      <c r="L192" s="48"/>
      <c r="M192" s="48"/>
      <c r="N192" s="48"/>
    </row>
    <row r="193" spans="1:14" hidden="1" x14ac:dyDescent="0.25">
      <c r="A193" s="2" t="s">
        <v>56</v>
      </c>
      <c r="B193" s="86"/>
      <c r="C193" s="86"/>
      <c r="D193" s="86"/>
      <c r="E193" s="86"/>
      <c r="F193" s="49"/>
      <c r="G193" s="49"/>
      <c r="H193" s="49"/>
      <c r="I193" s="49"/>
      <c r="J193" s="48"/>
      <c r="K193" s="48"/>
      <c r="L193" s="48"/>
      <c r="M193" s="48"/>
      <c r="N193" s="48"/>
    </row>
    <row r="194" spans="1:14" hidden="1" x14ac:dyDescent="0.25">
      <c r="A194" s="2" t="s">
        <v>53</v>
      </c>
      <c r="B194" s="86"/>
      <c r="C194" s="86"/>
      <c r="D194" s="86"/>
      <c r="E194" s="86"/>
      <c r="F194" s="64"/>
      <c r="G194" s="64"/>
      <c r="H194" s="64"/>
      <c r="I194" s="49"/>
      <c r="J194" s="48"/>
      <c r="K194" s="48"/>
      <c r="L194" s="48"/>
      <c r="M194" s="48"/>
      <c r="N194" s="48"/>
    </row>
    <row r="195" spans="1:14" hidden="1" x14ac:dyDescent="0.25">
      <c r="A195" s="2" t="s">
        <v>79</v>
      </c>
      <c r="B195" s="86"/>
      <c r="C195" s="86"/>
      <c r="D195" s="86"/>
      <c r="E195" s="86"/>
      <c r="F195" s="49"/>
      <c r="G195" s="49"/>
      <c r="H195" s="49"/>
      <c r="I195" s="49"/>
      <c r="J195" s="48"/>
      <c r="K195" s="48"/>
      <c r="L195" s="48"/>
      <c r="M195" s="48"/>
      <c r="N195" s="48"/>
    </row>
    <row r="196" spans="1:14" s="1" customFormat="1" hidden="1" x14ac:dyDescent="0.25">
      <c r="A196" s="2" t="s">
        <v>110</v>
      </c>
      <c r="B196" s="86"/>
      <c r="C196" s="86"/>
      <c r="D196" s="86"/>
      <c r="E196" s="86"/>
      <c r="F196" s="49"/>
      <c r="G196" s="49"/>
      <c r="H196" s="49"/>
      <c r="I196" s="49"/>
      <c r="J196" s="48"/>
      <c r="K196" s="48"/>
      <c r="L196" s="48"/>
      <c r="M196" s="48"/>
      <c r="N196" s="48"/>
    </row>
    <row r="197" spans="1:14" hidden="1" x14ac:dyDescent="0.25">
      <c r="A197" s="2" t="s">
        <v>85</v>
      </c>
      <c r="B197" s="86"/>
      <c r="C197" s="86"/>
      <c r="D197" s="86"/>
      <c r="E197" s="86"/>
      <c r="F197" s="49"/>
      <c r="G197" s="49"/>
      <c r="H197" s="49"/>
      <c r="I197" s="49"/>
      <c r="J197" s="48"/>
      <c r="K197" s="48"/>
      <c r="L197" s="48"/>
      <c r="M197" s="48"/>
      <c r="N197" s="48"/>
    </row>
    <row r="198" spans="1:14" hidden="1" x14ac:dyDescent="0.25">
      <c r="A198" s="10" t="s">
        <v>14</v>
      </c>
      <c r="B198" s="86"/>
      <c r="C198" s="86"/>
      <c r="D198" s="86"/>
      <c r="E198" s="86"/>
      <c r="F198" s="49"/>
      <c r="G198" s="49"/>
      <c r="H198" s="49"/>
    </row>
    <row r="199" spans="1:14" hidden="1" x14ac:dyDescent="0.25">
      <c r="A199" s="2" t="s">
        <v>38</v>
      </c>
      <c r="B199" s="86"/>
      <c r="C199" s="86"/>
      <c r="D199" s="86"/>
      <c r="E199" s="86"/>
      <c r="F199" s="49"/>
      <c r="G199" s="49"/>
      <c r="H199" s="49"/>
    </row>
    <row r="200" spans="1:14" hidden="1" x14ac:dyDescent="0.25">
      <c r="A200" s="2" t="s">
        <v>63</v>
      </c>
      <c r="B200" s="86"/>
      <c r="C200" s="86"/>
      <c r="D200" s="86"/>
      <c r="E200" s="86"/>
      <c r="F200" s="49"/>
      <c r="G200" s="49"/>
      <c r="H200" s="49"/>
    </row>
    <row r="201" spans="1:14" hidden="1" x14ac:dyDescent="0.25">
      <c r="A201" s="2" t="s">
        <v>77</v>
      </c>
      <c r="B201" s="86"/>
      <c r="C201" s="86"/>
      <c r="D201" s="86"/>
      <c r="E201" s="86"/>
      <c r="F201" s="49"/>
      <c r="G201" s="49"/>
      <c r="H201" s="49"/>
    </row>
    <row r="202" spans="1:14" hidden="1" x14ac:dyDescent="0.25">
      <c r="A202" s="10" t="s">
        <v>102</v>
      </c>
      <c r="B202" s="86"/>
      <c r="C202" s="86"/>
      <c r="D202" s="86"/>
      <c r="E202" s="86"/>
      <c r="F202" s="49"/>
      <c r="G202" s="49"/>
      <c r="H202" s="49"/>
    </row>
    <row r="203" spans="1:14" hidden="1" x14ac:dyDescent="0.25">
      <c r="A203" s="2" t="s">
        <v>101</v>
      </c>
      <c r="B203" s="86"/>
      <c r="C203" s="86"/>
      <c r="D203" s="86"/>
      <c r="E203" s="86"/>
      <c r="F203" s="49"/>
      <c r="G203" s="49"/>
      <c r="H203" s="49"/>
    </row>
    <row r="204" spans="1:14" hidden="1" x14ac:dyDescent="0.25">
      <c r="A204" s="10" t="s">
        <v>11</v>
      </c>
      <c r="B204" s="86"/>
      <c r="C204" s="86"/>
      <c r="D204" s="86"/>
      <c r="E204" s="86"/>
      <c r="F204" s="49"/>
      <c r="G204" s="49"/>
      <c r="H204" s="49"/>
    </row>
    <row r="205" spans="1:14" hidden="1" x14ac:dyDescent="0.25">
      <c r="A205" s="10" t="s">
        <v>95</v>
      </c>
      <c r="B205" s="86"/>
      <c r="C205" s="86"/>
      <c r="D205" s="86"/>
      <c r="E205" s="86"/>
      <c r="F205" s="49"/>
      <c r="G205" s="49"/>
      <c r="H205" s="49"/>
    </row>
    <row r="206" spans="1:14" hidden="1" x14ac:dyDescent="0.25">
      <c r="A206" s="2" t="s">
        <v>92</v>
      </c>
      <c r="B206" s="86"/>
      <c r="C206" s="86"/>
      <c r="D206" s="86"/>
      <c r="E206" s="86"/>
      <c r="F206" s="49"/>
      <c r="G206" s="49"/>
      <c r="H206" s="49"/>
    </row>
    <row r="207" spans="1:14" hidden="1" x14ac:dyDescent="0.25">
      <c r="A207" s="2" t="s">
        <v>21</v>
      </c>
      <c r="B207" s="86"/>
      <c r="C207" s="86"/>
      <c r="D207" s="86"/>
      <c r="E207" s="86"/>
      <c r="F207" s="49"/>
      <c r="G207" s="49"/>
      <c r="H207" s="49"/>
    </row>
    <row r="208" spans="1:14" hidden="1" x14ac:dyDescent="0.25">
      <c r="A208" s="2" t="s">
        <v>89</v>
      </c>
      <c r="B208" s="86"/>
      <c r="C208" s="86"/>
      <c r="D208" s="86"/>
      <c r="E208" s="86"/>
      <c r="F208" s="49"/>
      <c r="G208" s="49"/>
      <c r="H208" s="49"/>
    </row>
    <row r="209" spans="1:8" hidden="1" x14ac:dyDescent="0.25">
      <c r="A209" s="2" t="s">
        <v>90</v>
      </c>
      <c r="B209" s="86"/>
      <c r="C209" s="86"/>
      <c r="D209" s="86"/>
      <c r="E209" s="86"/>
      <c r="F209" s="49"/>
      <c r="G209" s="49"/>
      <c r="H209" s="49"/>
    </row>
    <row r="210" spans="1:8" hidden="1" x14ac:dyDescent="0.25">
      <c r="A210" s="2" t="s">
        <v>87</v>
      </c>
      <c r="B210" s="86"/>
      <c r="C210" s="86"/>
      <c r="D210" s="86"/>
      <c r="E210" s="86"/>
      <c r="F210" s="49"/>
      <c r="G210" s="49"/>
      <c r="H210" s="49"/>
    </row>
    <row r="211" spans="1:8" hidden="1" x14ac:dyDescent="0.25">
      <c r="A211" s="2" t="s">
        <v>82</v>
      </c>
      <c r="B211" s="86"/>
      <c r="C211" s="86"/>
      <c r="D211" s="86"/>
      <c r="E211" s="86"/>
      <c r="F211" s="49"/>
      <c r="G211" s="49"/>
      <c r="H211" s="49"/>
    </row>
    <row r="212" spans="1:8" hidden="1" x14ac:dyDescent="0.25">
      <c r="A212" s="2" t="s">
        <v>83</v>
      </c>
      <c r="B212" s="86"/>
      <c r="C212" s="86"/>
      <c r="D212" s="86"/>
      <c r="E212" s="86"/>
      <c r="F212" s="49"/>
      <c r="G212" s="49"/>
      <c r="H212" s="49"/>
    </row>
    <row r="213" spans="1:8" hidden="1" x14ac:dyDescent="0.25">
      <c r="A213" s="2" t="s">
        <v>46</v>
      </c>
      <c r="B213" s="86"/>
      <c r="C213" s="86"/>
      <c r="D213" s="86"/>
      <c r="E213" s="86"/>
      <c r="F213" s="49"/>
      <c r="G213" s="49"/>
      <c r="H213" s="49"/>
    </row>
    <row r="214" spans="1:8" hidden="1" x14ac:dyDescent="0.25">
      <c r="A214" s="2" t="s">
        <v>58</v>
      </c>
      <c r="B214" s="86"/>
      <c r="C214" s="86"/>
      <c r="D214" s="86"/>
      <c r="E214" s="86"/>
      <c r="F214" s="49"/>
      <c r="G214" s="49"/>
      <c r="H214" s="49"/>
    </row>
    <row r="215" spans="1:8" hidden="1" x14ac:dyDescent="0.25">
      <c r="A215" s="2" t="s">
        <v>78</v>
      </c>
      <c r="B215" s="86"/>
      <c r="C215" s="86"/>
      <c r="D215" s="86"/>
      <c r="E215" s="86"/>
      <c r="F215" s="49"/>
      <c r="G215" s="49"/>
      <c r="H215" s="49"/>
    </row>
    <row r="216" spans="1:8" hidden="1" x14ac:dyDescent="0.25">
      <c r="A216" s="2" t="s">
        <v>37</v>
      </c>
      <c r="B216" s="86"/>
      <c r="C216" s="86"/>
      <c r="D216" s="86"/>
      <c r="E216" s="86"/>
      <c r="F216" s="49"/>
      <c r="G216" s="49"/>
      <c r="H216" s="49"/>
    </row>
    <row r="217" spans="1:8" hidden="1" x14ac:dyDescent="0.25">
      <c r="A217" s="2" t="s">
        <v>75</v>
      </c>
      <c r="B217" s="86"/>
      <c r="C217" s="86"/>
      <c r="D217" s="86"/>
      <c r="E217" s="86"/>
      <c r="F217" s="49"/>
      <c r="G217" s="49"/>
      <c r="H217" s="49"/>
    </row>
    <row r="218" spans="1:8" hidden="1" x14ac:dyDescent="0.25">
      <c r="A218" s="2" t="s">
        <v>18</v>
      </c>
      <c r="B218" s="86"/>
      <c r="C218" s="86"/>
      <c r="D218" s="86"/>
      <c r="E218" s="86"/>
      <c r="F218" s="49"/>
      <c r="G218" s="49"/>
      <c r="H218" s="49"/>
    </row>
    <row r="219" spans="1:8" hidden="1" x14ac:dyDescent="0.25">
      <c r="A219" s="2" t="s">
        <v>51</v>
      </c>
      <c r="B219" s="86"/>
      <c r="C219" s="86"/>
      <c r="D219" s="86"/>
      <c r="E219" s="86"/>
      <c r="F219" s="49"/>
      <c r="G219" s="49"/>
      <c r="H219" s="49"/>
    </row>
    <row r="220" spans="1:8" hidden="1" x14ac:dyDescent="0.25">
      <c r="A220" s="2" t="s">
        <v>72</v>
      </c>
      <c r="B220" s="86"/>
      <c r="C220" s="86"/>
      <c r="D220" s="86"/>
      <c r="E220" s="86"/>
      <c r="F220" s="49"/>
      <c r="G220" s="49"/>
      <c r="H220" s="49"/>
    </row>
    <row r="221" spans="1:8" hidden="1" x14ac:dyDescent="0.25">
      <c r="A221" s="2" t="s">
        <v>69</v>
      </c>
      <c r="B221" s="86"/>
      <c r="C221" s="86"/>
      <c r="D221" s="86"/>
      <c r="E221" s="86"/>
      <c r="F221" s="49"/>
      <c r="G221" s="49"/>
      <c r="H221" s="49"/>
    </row>
    <row r="222" spans="1:8" hidden="1" x14ac:dyDescent="0.25">
      <c r="A222" s="2" t="s">
        <v>67</v>
      </c>
      <c r="B222" s="86"/>
      <c r="C222" s="86"/>
      <c r="D222" s="86"/>
      <c r="E222" s="86"/>
      <c r="F222" s="49"/>
      <c r="G222" s="49"/>
      <c r="H222" s="49"/>
    </row>
    <row r="223" spans="1:8" hidden="1" x14ac:dyDescent="0.25">
      <c r="A223" s="2" t="s">
        <v>70</v>
      </c>
      <c r="B223" s="86"/>
      <c r="C223" s="86"/>
      <c r="D223" s="86"/>
      <c r="E223" s="86"/>
      <c r="F223" s="49"/>
      <c r="G223" s="49"/>
      <c r="H223" s="49"/>
    </row>
    <row r="224" spans="1:8" hidden="1" x14ac:dyDescent="0.25">
      <c r="A224" s="10" t="s">
        <v>65</v>
      </c>
      <c r="B224" s="86"/>
      <c r="C224" s="86"/>
      <c r="D224" s="86"/>
      <c r="E224" s="86"/>
      <c r="F224" s="49"/>
      <c r="G224" s="49"/>
      <c r="H224" s="49"/>
    </row>
    <row r="225" spans="1:14" hidden="1" x14ac:dyDescent="0.25">
      <c r="A225" s="2" t="s">
        <v>47</v>
      </c>
      <c r="B225" s="86"/>
      <c r="C225" s="86"/>
      <c r="D225" s="86"/>
      <c r="E225" s="86"/>
      <c r="F225" s="49"/>
      <c r="G225" s="49"/>
      <c r="H225" s="49"/>
    </row>
    <row r="226" spans="1:14" hidden="1" x14ac:dyDescent="0.25">
      <c r="A226" s="2" t="s">
        <v>64</v>
      </c>
      <c r="B226" s="86"/>
      <c r="C226" s="86"/>
      <c r="D226" s="86"/>
      <c r="E226" s="86"/>
      <c r="F226" s="49"/>
      <c r="G226" s="49"/>
      <c r="H226" s="49"/>
    </row>
    <row r="227" spans="1:14" hidden="1" x14ac:dyDescent="0.25">
      <c r="A227" s="9" t="s">
        <v>27</v>
      </c>
      <c r="B227" s="86"/>
      <c r="C227" s="86"/>
      <c r="D227" s="86"/>
      <c r="E227" s="86"/>
      <c r="F227" s="49"/>
      <c r="G227" s="49"/>
      <c r="H227" s="49"/>
    </row>
    <row r="228" spans="1:14" hidden="1" x14ac:dyDescent="0.25">
      <c r="A228" s="2" t="s">
        <v>19</v>
      </c>
      <c r="B228" s="86"/>
      <c r="C228" s="86"/>
      <c r="D228" s="86"/>
      <c r="E228" s="86"/>
      <c r="F228" s="49"/>
      <c r="G228" s="49"/>
      <c r="H228" s="49"/>
    </row>
    <row r="229" spans="1:14" hidden="1" x14ac:dyDescent="0.25">
      <c r="A229" s="2" t="s">
        <v>31</v>
      </c>
      <c r="B229" s="86"/>
      <c r="C229" s="86"/>
      <c r="D229" s="86"/>
      <c r="E229" s="86"/>
      <c r="F229" s="49"/>
      <c r="G229" s="49"/>
      <c r="H229" s="49"/>
    </row>
    <row r="230" spans="1:14" hidden="1" x14ac:dyDescent="0.25">
      <c r="A230" s="2" t="s">
        <v>44</v>
      </c>
      <c r="B230" s="86"/>
      <c r="C230" s="86"/>
      <c r="D230" s="86"/>
      <c r="E230" s="86"/>
      <c r="F230" s="49"/>
      <c r="G230" s="49"/>
      <c r="H230" s="49"/>
    </row>
    <row r="231" spans="1:14" hidden="1" x14ac:dyDescent="0.25">
      <c r="A231" s="2" t="s">
        <v>49</v>
      </c>
      <c r="B231" s="86"/>
      <c r="C231" s="86"/>
      <c r="D231" s="86"/>
      <c r="E231" s="86"/>
      <c r="F231" s="49"/>
      <c r="G231" s="49"/>
      <c r="H231" s="49"/>
    </row>
    <row r="232" spans="1:14" hidden="1" x14ac:dyDescent="0.25">
      <c r="A232" s="2" t="s">
        <v>50</v>
      </c>
      <c r="B232" s="86"/>
      <c r="C232" s="86"/>
      <c r="D232" s="86"/>
      <c r="E232" s="86"/>
      <c r="F232" s="49"/>
      <c r="G232" s="49"/>
      <c r="H232" s="49"/>
    </row>
    <row r="233" spans="1:14" hidden="1" x14ac:dyDescent="0.25">
      <c r="A233" s="2" t="s">
        <v>55</v>
      </c>
      <c r="B233" s="86"/>
      <c r="C233" s="86"/>
      <c r="D233" s="86"/>
      <c r="E233" s="86"/>
      <c r="F233" s="49"/>
      <c r="G233" s="49"/>
      <c r="H233" s="49"/>
    </row>
    <row r="234" spans="1:14" hidden="1" x14ac:dyDescent="0.25">
      <c r="A234" s="2" t="s">
        <v>57</v>
      </c>
      <c r="B234" s="86"/>
      <c r="C234" s="86"/>
      <c r="D234" s="86"/>
      <c r="E234" s="86"/>
      <c r="F234" s="49"/>
      <c r="G234" s="49"/>
      <c r="H234" s="49"/>
    </row>
    <row r="235" spans="1:14" hidden="1" x14ac:dyDescent="0.25">
      <c r="A235" s="2" t="s">
        <v>60</v>
      </c>
      <c r="B235" s="86"/>
      <c r="C235" s="86"/>
      <c r="D235" s="86"/>
      <c r="E235" s="86"/>
      <c r="F235" s="49"/>
      <c r="G235" s="49"/>
      <c r="H235" s="49"/>
    </row>
    <row r="236" spans="1:14" hidden="1" x14ac:dyDescent="0.25">
      <c r="A236" s="2"/>
      <c r="B236" s="86"/>
      <c r="C236" s="86"/>
      <c r="D236" s="86"/>
      <c r="E236" s="86"/>
      <c r="F236" s="49"/>
      <c r="G236" s="49"/>
      <c r="H236" s="49"/>
    </row>
    <row r="237" spans="1:14" hidden="1" x14ac:dyDescent="0.25">
      <c r="A237" s="2" t="s">
        <v>61</v>
      </c>
      <c r="B237" s="86"/>
      <c r="C237" s="86"/>
      <c r="D237" s="86"/>
      <c r="E237" s="86"/>
      <c r="F237" s="49"/>
      <c r="G237" s="49"/>
      <c r="H237" s="49"/>
    </row>
    <row r="238" spans="1:14" x14ac:dyDescent="0.25">
      <c r="A238" s="2"/>
      <c r="B238" s="14"/>
      <c r="C238" s="14"/>
      <c r="D238" s="14"/>
      <c r="E238" s="14"/>
      <c r="F238" s="63"/>
      <c r="G238" s="63"/>
      <c r="H238" s="63"/>
    </row>
    <row r="239" spans="1:14" ht="15.75" thickBot="1" x14ac:dyDescent="0.3">
      <c r="A239" s="7" t="s">
        <v>16</v>
      </c>
      <c r="B239" s="8">
        <f>SUM(B133:B238)-SUM(B160:B161)</f>
        <v>151.48699000000002</v>
      </c>
      <c r="C239" s="8">
        <f>SUM(C133:C238)-C161</f>
        <v>1027.430865</v>
      </c>
      <c r="D239" s="8">
        <f>SUM(D133:D238)</f>
        <v>115.254535</v>
      </c>
      <c r="E239" s="8">
        <f>SUM(E133:E238)</f>
        <v>554.96888000000001</v>
      </c>
      <c r="F239" s="49"/>
      <c r="G239" s="49"/>
      <c r="H239" s="49"/>
    </row>
    <row r="240" spans="1:14" ht="15.75" thickBot="1" x14ac:dyDescent="0.3">
      <c r="A240" s="2"/>
      <c r="B240" s="2"/>
      <c r="C240" s="2"/>
      <c r="D240" s="2"/>
      <c r="E240" s="2"/>
      <c r="F240" s="1"/>
      <c r="I240" s="21" t="s">
        <v>116</v>
      </c>
      <c r="J240" s="23" t="s">
        <v>115</v>
      </c>
      <c r="K240" s="23">
        <v>2016</v>
      </c>
      <c r="L240" s="22">
        <v>2017</v>
      </c>
      <c r="M240" s="28" t="s">
        <v>154</v>
      </c>
      <c r="N240" s="29" t="s">
        <v>153</v>
      </c>
    </row>
    <row r="241" spans="1:14" x14ac:dyDescent="0.25">
      <c r="A241" s="11" t="s">
        <v>200</v>
      </c>
      <c r="B241" s="12">
        <f>B115+B131-B239</f>
        <v>205.12101000000004</v>
      </c>
      <c r="C241" s="12">
        <f>C115+C131-C239</f>
        <v>-582.90985499999999</v>
      </c>
      <c r="D241" s="12">
        <f>D115+D131-D239</f>
        <v>-698.16439000000003</v>
      </c>
      <c r="E241" s="12">
        <f>E115+E131-E239</f>
        <v>-1173.13327</v>
      </c>
      <c r="I241" s="19" t="s">
        <v>113</v>
      </c>
      <c r="J241" s="24"/>
      <c r="K241" s="24">
        <f>C167+E167</f>
        <v>95.663569999999993</v>
      </c>
      <c r="L241" s="25">
        <f>SUM(B133:E166)+SUM(B168:E179)+B167</f>
        <v>1867.7327000000002</v>
      </c>
      <c r="M241" s="24"/>
      <c r="N241" s="24"/>
    </row>
    <row r="242" spans="1:14" ht="15.75" thickBot="1" x14ac:dyDescent="0.3">
      <c r="A242" s="4" t="s">
        <v>201</v>
      </c>
      <c r="B242" s="5">
        <f>B241/0.0042</f>
        <v>48838.335714285728</v>
      </c>
      <c r="C242" s="5">
        <f>C241/0.0042</f>
        <v>-138788.06071428573</v>
      </c>
      <c r="D242" s="5">
        <f>D241/0.0042</f>
        <v>-166229.61666666667</v>
      </c>
      <c r="E242" s="5">
        <f>E241/0.0042</f>
        <v>-279317.44523809524</v>
      </c>
      <c r="I242" s="20" t="s">
        <v>114</v>
      </c>
      <c r="J242" s="26">
        <f>J241/4</f>
        <v>0</v>
      </c>
      <c r="K242" s="26">
        <f>K241/4</f>
        <v>23.915892499999998</v>
      </c>
      <c r="L242" s="27">
        <f>L241/4</f>
        <v>466.93317500000006</v>
      </c>
      <c r="M242" s="26">
        <f>SUM(J242:L242)</f>
        <v>490.84906750000005</v>
      </c>
      <c r="N242" s="26">
        <f>SUM(K242:L242)</f>
        <v>490.84906750000005</v>
      </c>
    </row>
    <row r="244" spans="1:14" x14ac:dyDescent="0.25">
      <c r="C244" s="92"/>
      <c r="E244" s="92"/>
    </row>
  </sheetData>
  <mergeCells count="1">
    <mergeCell ref="B6:D6"/>
  </mergeCells>
  <pageMargins left="0.35433070866141736" right="0.27559055118110237" top="0.74803149606299213" bottom="0.74803149606299213" header="0.31496062992125984" footer="0.31496062992125984"/>
  <pageSetup paperSize="9" scale="64" orientation="portrait" horizontalDpi="4294967293" verticalDpi="4294967293" r:id="rId1"/>
  <rowBreaks count="1" manualBreakCount="1">
    <brk id="11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56"/>
  <sheetViews>
    <sheetView workbookViewId="0">
      <pane xSplit="1" ySplit="3" topLeftCell="B105" activePane="bottomRight" state="frozen"/>
      <selection pane="topRight" activeCell="B1" sqref="B1"/>
      <selection pane="bottomLeft" activeCell="A4" sqref="A4"/>
      <selection pane="bottomRight" activeCell="B129" sqref="B129"/>
    </sheetView>
  </sheetViews>
  <sheetFormatPr defaultRowHeight="15" outlineLevelRow="1" x14ac:dyDescent="0.25"/>
  <cols>
    <col min="1" max="1" width="52" bestFit="1" customWidth="1"/>
    <col min="2" max="2" width="11.42578125" bestFit="1" customWidth="1"/>
    <col min="3" max="3" width="14" bestFit="1" customWidth="1"/>
    <col min="4" max="4" width="9.7109375" customWidth="1"/>
    <col min="5" max="5" width="10.5703125" customWidth="1"/>
    <col min="6" max="6" width="11.42578125" bestFit="1" customWidth="1"/>
    <col min="7" max="7" width="4" bestFit="1" customWidth="1"/>
    <col min="9" max="9" width="10.140625" customWidth="1"/>
    <col min="11" max="11" width="22.7109375" bestFit="1" customWidth="1"/>
    <col min="12" max="12" width="10.85546875" customWidth="1"/>
    <col min="13" max="13" width="14" bestFit="1" customWidth="1"/>
    <col min="14" max="14" width="19" bestFit="1" customWidth="1"/>
    <col min="15" max="15" width="20.42578125" bestFit="1" customWidth="1"/>
  </cols>
  <sheetData>
    <row r="1" spans="1:16" x14ac:dyDescent="0.25">
      <c r="J1" s="48"/>
      <c r="K1" s="48"/>
      <c r="L1" s="48"/>
      <c r="M1" s="48"/>
      <c r="N1" s="48"/>
      <c r="O1" s="48"/>
    </row>
    <row r="2" spans="1:16" x14ac:dyDescent="0.25">
      <c r="J2" s="48"/>
      <c r="K2" s="48"/>
      <c r="L2" s="48"/>
      <c r="M2" s="48"/>
      <c r="N2" s="48"/>
      <c r="O2" s="48"/>
    </row>
    <row r="3" spans="1:16" s="1" customFormat="1" x14ac:dyDescent="0.25">
      <c r="J3" s="49"/>
      <c r="K3" s="49"/>
      <c r="L3" s="49"/>
      <c r="M3" s="49"/>
      <c r="N3" s="49"/>
      <c r="O3" s="49"/>
    </row>
    <row r="4" spans="1:16" s="1" customFormat="1" hidden="1" x14ac:dyDescent="0.25">
      <c r="A4" s="46" t="s">
        <v>139</v>
      </c>
      <c r="B4" s="47">
        <v>4.2</v>
      </c>
      <c r="C4" s="49"/>
      <c r="D4" s="49"/>
      <c r="J4" s="49"/>
      <c r="O4" s="49"/>
    </row>
    <row r="5" spans="1:16" hidden="1" x14ac:dyDescent="0.25">
      <c r="A5" s="48"/>
      <c r="B5" s="48"/>
      <c r="C5" s="48"/>
      <c r="D5" s="48"/>
      <c r="J5" s="49"/>
      <c r="O5" s="48"/>
      <c r="P5" s="48"/>
    </row>
    <row r="6" spans="1:16" ht="15.75" hidden="1" x14ac:dyDescent="0.25">
      <c r="A6" s="30" t="s">
        <v>118</v>
      </c>
      <c r="B6" s="150" t="s">
        <v>213</v>
      </c>
      <c r="C6" s="150"/>
      <c r="D6" s="150"/>
      <c r="J6" s="49"/>
      <c r="O6" s="48"/>
    </row>
    <row r="7" spans="1:16" ht="16.5" hidden="1" thickBot="1" x14ac:dyDescent="0.3">
      <c r="A7" s="30" t="s">
        <v>144</v>
      </c>
      <c r="B7" s="50" t="s">
        <v>140</v>
      </c>
      <c r="C7" s="50" t="s">
        <v>141</v>
      </c>
      <c r="D7" s="51" t="s">
        <v>142</v>
      </c>
      <c r="H7" s="97"/>
      <c r="I7" s="97"/>
      <c r="J7" s="49"/>
      <c r="O7" s="48"/>
    </row>
    <row r="8" spans="1:16" hidden="1" x14ac:dyDescent="0.25">
      <c r="A8" s="31" t="s">
        <v>119</v>
      </c>
      <c r="B8" s="38"/>
      <c r="C8" s="48"/>
      <c r="D8" s="48"/>
      <c r="J8" s="49"/>
      <c r="O8" s="48"/>
    </row>
    <row r="9" spans="1:16" hidden="1" x14ac:dyDescent="0.25">
      <c r="A9" s="32" t="s">
        <v>120</v>
      </c>
      <c r="B9" s="39">
        <f>84.5*B4</f>
        <v>354.90000000000003</v>
      </c>
      <c r="C9" s="39">
        <f>C10+C11+C12</f>
        <v>1512.3088499999999</v>
      </c>
      <c r="D9" s="39">
        <f>C9-B9</f>
        <v>1157.4088499999998</v>
      </c>
      <c r="H9" s="95"/>
      <c r="I9" s="95"/>
      <c r="J9" s="98"/>
      <c r="O9" s="48"/>
    </row>
    <row r="10" spans="1:16" hidden="1" x14ac:dyDescent="0.25">
      <c r="A10" s="79" t="s">
        <v>2</v>
      </c>
      <c r="B10" s="80"/>
      <c r="C10" s="80">
        <f>B123+C123</f>
        <v>0</v>
      </c>
      <c r="D10" s="80"/>
      <c r="J10" s="98"/>
      <c r="O10" s="48"/>
    </row>
    <row r="11" spans="1:16" hidden="1" x14ac:dyDescent="0.25">
      <c r="A11" s="79" t="s">
        <v>74</v>
      </c>
      <c r="B11" s="80"/>
      <c r="C11" s="80">
        <f>F128</f>
        <v>0</v>
      </c>
      <c r="D11" s="80"/>
      <c r="J11" s="98"/>
      <c r="O11" s="48"/>
    </row>
    <row r="12" spans="1:16" hidden="1" x14ac:dyDescent="0.25">
      <c r="A12" s="79" t="s">
        <v>214</v>
      </c>
      <c r="B12" s="80"/>
      <c r="C12" s="80">
        <f>SUM(B133:F133)</f>
        <v>1512.3088499999999</v>
      </c>
      <c r="D12" s="80"/>
      <c r="J12" s="98"/>
      <c r="O12" s="48"/>
    </row>
    <row r="13" spans="1:16" hidden="1" x14ac:dyDescent="0.25">
      <c r="A13" s="33"/>
      <c r="B13" s="40"/>
      <c r="C13" s="40"/>
      <c r="D13" s="40"/>
      <c r="J13" s="98"/>
      <c r="O13" s="48"/>
    </row>
    <row r="14" spans="1:16" hidden="1" x14ac:dyDescent="0.25">
      <c r="A14" s="33" t="s">
        <v>121</v>
      </c>
      <c r="B14" s="40">
        <v>0</v>
      </c>
      <c r="C14" s="40">
        <f>SUM(C15:C17)</f>
        <v>-247.9374</v>
      </c>
      <c r="D14" s="40">
        <f>C14-B14</f>
        <v>-247.9374</v>
      </c>
      <c r="H14" s="95"/>
      <c r="I14" s="95"/>
      <c r="J14" s="98"/>
      <c r="O14" s="48"/>
    </row>
    <row r="15" spans="1:16" outlineLevel="1" x14ac:dyDescent="0.25">
      <c r="A15" s="81" t="s">
        <v>8</v>
      </c>
      <c r="B15" s="40"/>
      <c r="C15" s="82">
        <f>-D140-E140</f>
        <v>-40.937399999999997</v>
      </c>
      <c r="D15" s="40"/>
      <c r="J15" s="98"/>
      <c r="O15" s="48"/>
    </row>
    <row r="16" spans="1:16" outlineLevel="1" x14ac:dyDescent="0.25">
      <c r="A16" s="81" t="s">
        <v>22</v>
      </c>
      <c r="B16" s="40"/>
      <c r="C16" s="82">
        <f>-SUM(C141:F141)</f>
        <v>-207</v>
      </c>
      <c r="D16" s="40"/>
      <c r="J16" s="98"/>
      <c r="O16" s="48"/>
    </row>
    <row r="17" spans="1:15" outlineLevel="1" x14ac:dyDescent="0.25">
      <c r="A17" s="81" t="s">
        <v>79</v>
      </c>
      <c r="B17" s="40"/>
      <c r="C17" s="82"/>
      <c r="D17" s="40"/>
      <c r="J17" s="98"/>
      <c r="O17" s="48"/>
    </row>
    <row r="18" spans="1:15" hidden="1" x14ac:dyDescent="0.25">
      <c r="A18" s="33"/>
      <c r="B18" s="40"/>
      <c r="C18" s="40"/>
      <c r="D18" s="40"/>
      <c r="J18" s="98"/>
      <c r="O18" s="48"/>
    </row>
    <row r="19" spans="1:15" hidden="1" x14ac:dyDescent="0.25">
      <c r="A19" s="33" t="s">
        <v>122</v>
      </c>
      <c r="B19" s="40">
        <v>0</v>
      </c>
      <c r="C19" s="40"/>
      <c r="D19" s="40">
        <f>C19-B19</f>
        <v>0</v>
      </c>
      <c r="H19" s="95"/>
      <c r="I19" s="95"/>
      <c r="J19" s="98"/>
      <c r="O19" s="48"/>
    </row>
    <row r="20" spans="1:15" hidden="1" x14ac:dyDescent="0.25">
      <c r="A20" s="33" t="s">
        <v>123</v>
      </c>
      <c r="B20" s="40">
        <f>-121.541662578305*B4</f>
        <v>-510.47498282888097</v>
      </c>
      <c r="C20" s="40">
        <f>SUM(C21:C25)</f>
        <v>-490.77900000000005</v>
      </c>
      <c r="D20" s="40">
        <f>C20-B20</f>
        <v>19.695982828880915</v>
      </c>
      <c r="H20" s="95"/>
      <c r="I20" s="95"/>
      <c r="J20" s="98"/>
      <c r="O20" s="48"/>
    </row>
    <row r="21" spans="1:15" outlineLevel="1" x14ac:dyDescent="0.25">
      <c r="A21" s="81" t="s">
        <v>103</v>
      </c>
      <c r="B21" s="40"/>
      <c r="C21" s="82">
        <f>-(C142+F142)</f>
        <v>-279.87242000000003</v>
      </c>
      <c r="D21" s="40"/>
      <c r="J21" s="98"/>
      <c r="O21" s="48"/>
    </row>
    <row r="22" spans="1:15" outlineLevel="1" x14ac:dyDescent="0.25">
      <c r="A22" s="81" t="s">
        <v>147</v>
      </c>
      <c r="B22" s="40"/>
      <c r="C22" s="82">
        <f>-(E143+E157)-SUM(C166:F166)</f>
        <v>-206.90658000000002</v>
      </c>
      <c r="D22" s="40"/>
      <c r="J22" s="98"/>
      <c r="O22" s="48"/>
    </row>
    <row r="23" spans="1:15" outlineLevel="1" x14ac:dyDescent="0.25">
      <c r="A23" s="81" t="s">
        <v>146</v>
      </c>
      <c r="B23" s="40"/>
      <c r="C23" s="82"/>
      <c r="D23" s="40"/>
      <c r="J23" s="98"/>
      <c r="O23" s="48"/>
    </row>
    <row r="24" spans="1:15" outlineLevel="1" x14ac:dyDescent="0.25">
      <c r="A24" s="81" t="s">
        <v>189</v>
      </c>
      <c r="B24" s="40"/>
      <c r="C24" s="82"/>
      <c r="D24" s="40"/>
      <c r="J24" s="98"/>
      <c r="O24" s="48"/>
    </row>
    <row r="25" spans="1:15" outlineLevel="1" x14ac:dyDescent="0.25">
      <c r="A25" s="81" t="s">
        <v>98</v>
      </c>
      <c r="B25" s="40"/>
      <c r="C25" s="82">
        <f>-C169</f>
        <v>-4</v>
      </c>
      <c r="D25" s="40"/>
      <c r="J25" s="98"/>
      <c r="O25" s="48"/>
    </row>
    <row r="26" spans="1:15" hidden="1" x14ac:dyDescent="0.25">
      <c r="A26" s="52" t="s">
        <v>143</v>
      </c>
      <c r="B26" s="53">
        <v>0</v>
      </c>
      <c r="C26" s="53">
        <f>SUM(C27:C29)</f>
        <v>-20.035999999999998</v>
      </c>
      <c r="D26" s="53">
        <f>C26-B26</f>
        <v>-20.035999999999998</v>
      </c>
      <c r="H26" s="95"/>
      <c r="I26" s="95"/>
      <c r="J26" s="98"/>
      <c r="O26" s="48"/>
    </row>
    <row r="27" spans="1:15" outlineLevel="1" x14ac:dyDescent="0.25">
      <c r="A27" s="81" t="s">
        <v>149</v>
      </c>
      <c r="B27" s="53"/>
      <c r="C27" s="82">
        <f>-F161</f>
        <v>-1.1359999999999999</v>
      </c>
      <c r="D27" s="53"/>
      <c r="J27" s="98"/>
      <c r="O27" s="48"/>
    </row>
    <row r="28" spans="1:15" outlineLevel="1" x14ac:dyDescent="0.25">
      <c r="A28" s="81" t="s">
        <v>167</v>
      </c>
      <c r="B28" s="53"/>
      <c r="C28" s="82"/>
      <c r="D28" s="53"/>
      <c r="J28" s="98"/>
      <c r="O28" s="48"/>
    </row>
    <row r="29" spans="1:15" outlineLevel="1" x14ac:dyDescent="0.25">
      <c r="A29" s="81" t="s">
        <v>196</v>
      </c>
      <c r="B29" s="53"/>
      <c r="C29" s="82">
        <f>-E185</f>
        <v>-18.899999999999999</v>
      </c>
      <c r="D29" s="53"/>
      <c r="J29" s="98"/>
      <c r="O29" s="48"/>
    </row>
    <row r="30" spans="1:15" hidden="1" x14ac:dyDescent="0.25">
      <c r="A30" s="33" t="s">
        <v>124</v>
      </c>
      <c r="B30" s="40">
        <f>-71.5157508348324*B4</f>
        <v>-300.36615350629609</v>
      </c>
      <c r="C30" s="83">
        <f>SUM(C31:C71)</f>
        <v>-611.13735500000007</v>
      </c>
      <c r="D30" s="40">
        <f>C30-B30</f>
        <v>-310.77120149370398</v>
      </c>
      <c r="H30" s="95"/>
      <c r="I30" s="95"/>
      <c r="J30" s="98"/>
      <c r="O30" s="48"/>
    </row>
    <row r="31" spans="1:15" outlineLevel="1" x14ac:dyDescent="0.25">
      <c r="A31" s="81" t="s">
        <v>29</v>
      </c>
      <c r="B31" s="40"/>
      <c r="C31" s="83">
        <f>-D145</f>
        <v>-66.83</v>
      </c>
      <c r="D31" s="40"/>
      <c r="J31" s="98"/>
      <c r="O31" s="48"/>
    </row>
    <row r="32" spans="1:15" outlineLevel="1" x14ac:dyDescent="0.25">
      <c r="A32" s="81" t="s">
        <v>9</v>
      </c>
      <c r="B32" s="40"/>
      <c r="C32" s="83">
        <f>-(E149+F149)</f>
        <v>-40.841200000000001</v>
      </c>
      <c r="D32" s="40"/>
      <c r="J32" s="98"/>
      <c r="O32" s="48"/>
    </row>
    <row r="33" spans="1:15" outlineLevel="1" x14ac:dyDescent="0.25">
      <c r="A33" s="81" t="s">
        <v>111</v>
      </c>
      <c r="B33" s="40"/>
      <c r="C33" s="83">
        <f>-D151</f>
        <v>-37.651000000000003</v>
      </c>
      <c r="D33" s="40"/>
      <c r="J33" s="98"/>
      <c r="O33" s="48"/>
    </row>
    <row r="34" spans="1:15" outlineLevel="1" x14ac:dyDescent="0.25">
      <c r="A34" s="81" t="s">
        <v>45</v>
      </c>
      <c r="B34" s="40"/>
      <c r="C34" s="83"/>
      <c r="D34" s="40"/>
      <c r="J34" s="98"/>
      <c r="O34" s="48"/>
    </row>
    <row r="35" spans="1:15" outlineLevel="1" x14ac:dyDescent="0.25">
      <c r="A35" s="81" t="s">
        <v>52</v>
      </c>
      <c r="B35" s="40"/>
      <c r="C35" s="83">
        <f>-F154</f>
        <v>-5.165</v>
      </c>
      <c r="D35" s="40"/>
      <c r="J35" s="98"/>
      <c r="O35" s="48"/>
    </row>
    <row r="36" spans="1:15" outlineLevel="1" x14ac:dyDescent="0.25">
      <c r="A36" s="81" t="s">
        <v>183</v>
      </c>
      <c r="B36" s="40"/>
      <c r="C36" s="83">
        <f>-F184</f>
        <v>-4.2679999999999998</v>
      </c>
      <c r="D36" s="40"/>
      <c r="J36" s="98"/>
      <c r="O36" s="48"/>
    </row>
    <row r="37" spans="1:15" outlineLevel="1" x14ac:dyDescent="0.25">
      <c r="A37" s="81" t="s">
        <v>56</v>
      </c>
      <c r="B37" s="40"/>
      <c r="C37" s="83"/>
      <c r="D37" s="40"/>
      <c r="J37" s="98"/>
      <c r="O37" s="48"/>
    </row>
    <row r="38" spans="1:15" outlineLevel="1" x14ac:dyDescent="0.25">
      <c r="A38" s="81" t="s">
        <v>12</v>
      </c>
      <c r="B38" s="40"/>
      <c r="C38" s="83">
        <f>-(C155+F155)</f>
        <v>-3.9329999999999998</v>
      </c>
      <c r="D38" s="40"/>
      <c r="J38" s="98"/>
      <c r="O38" s="48"/>
    </row>
    <row r="39" spans="1:15" outlineLevel="1" x14ac:dyDescent="0.25">
      <c r="A39" s="81" t="s">
        <v>68</v>
      </c>
      <c r="B39" s="40"/>
      <c r="C39" s="83">
        <f>-SUM(B159:F159)</f>
        <v>-36.079929999999997</v>
      </c>
      <c r="D39" s="40"/>
      <c r="J39" s="98"/>
      <c r="O39" s="48"/>
    </row>
    <row r="40" spans="1:15" outlineLevel="1" x14ac:dyDescent="0.25">
      <c r="A40" s="81" t="s">
        <v>42</v>
      </c>
      <c r="B40" s="40"/>
      <c r="C40" s="83">
        <f>-SUM(B170:F170)</f>
        <v>-4.7276600000000002</v>
      </c>
      <c r="D40" s="40"/>
      <c r="J40" s="98"/>
      <c r="O40" s="48"/>
    </row>
    <row r="41" spans="1:15" outlineLevel="1" x14ac:dyDescent="0.25">
      <c r="A41" s="81" t="s">
        <v>76</v>
      </c>
      <c r="B41" s="40"/>
      <c r="C41" s="83">
        <f>-SUM(E171:F171)</f>
        <v>-0.73089000000000004</v>
      </c>
      <c r="D41" s="40"/>
      <c r="J41" s="98"/>
      <c r="O41" s="48"/>
    </row>
    <row r="42" spans="1:15" outlineLevel="1" x14ac:dyDescent="0.25">
      <c r="A42" s="81" t="s">
        <v>30</v>
      </c>
      <c r="B42" s="40"/>
      <c r="C42" s="83">
        <f>-SUM(D172:F172)</f>
        <v>-30</v>
      </c>
      <c r="D42" s="40"/>
      <c r="J42" s="98"/>
      <c r="O42" s="48"/>
    </row>
    <row r="43" spans="1:15" outlineLevel="1" x14ac:dyDescent="0.25">
      <c r="A43" s="81" t="s">
        <v>15</v>
      </c>
      <c r="B43" s="40"/>
      <c r="C43" s="83">
        <f>-SUM(B173:F173)</f>
        <v>-150.68100000000001</v>
      </c>
      <c r="D43" s="40"/>
      <c r="J43" s="98"/>
      <c r="O43" s="48"/>
    </row>
    <row r="44" spans="1:15" outlineLevel="1" x14ac:dyDescent="0.25">
      <c r="A44" s="81" t="s">
        <v>165</v>
      </c>
      <c r="B44" s="40"/>
      <c r="C44" s="83">
        <f>-D174</f>
        <v>-3</v>
      </c>
      <c r="D44" s="40"/>
      <c r="J44" s="98"/>
      <c r="O44" s="48"/>
    </row>
    <row r="45" spans="1:15" outlineLevel="1" x14ac:dyDescent="0.25">
      <c r="A45" s="81" t="s">
        <v>168</v>
      </c>
      <c r="B45" s="40"/>
      <c r="C45" s="83"/>
      <c r="D45" s="40"/>
      <c r="J45" s="98"/>
      <c r="O45" s="48"/>
    </row>
    <row r="46" spans="1:15" outlineLevel="1" x14ac:dyDescent="0.25">
      <c r="A46" s="81" t="s">
        <v>24</v>
      </c>
      <c r="B46" s="40"/>
      <c r="C46" s="83">
        <f>-SUM(C158:F158)</f>
        <v>-67.882199999999997</v>
      </c>
      <c r="D46" s="40"/>
      <c r="J46" s="98"/>
      <c r="O46" s="48"/>
    </row>
    <row r="47" spans="1:15" outlineLevel="1" x14ac:dyDescent="0.25">
      <c r="A47" s="81" t="s">
        <v>25</v>
      </c>
      <c r="B47" s="40"/>
      <c r="C47" s="40">
        <f>-SUM(C162:F162)</f>
        <v>-16.895</v>
      </c>
      <c r="D47" s="40"/>
      <c r="J47" s="49"/>
      <c r="O47" s="48"/>
    </row>
    <row r="48" spans="1:15" outlineLevel="1" x14ac:dyDescent="0.25">
      <c r="A48" s="81" t="s">
        <v>23</v>
      </c>
      <c r="B48" s="40"/>
      <c r="C48" s="83">
        <f>-SUM(C180:F180)</f>
        <v>-3.5737649999999999</v>
      </c>
      <c r="D48" s="40"/>
      <c r="J48" s="98"/>
      <c r="O48" s="48"/>
    </row>
    <row r="49" spans="1:15" outlineLevel="1" x14ac:dyDescent="0.25">
      <c r="A49" s="81" t="s">
        <v>35</v>
      </c>
      <c r="B49" s="40"/>
      <c r="C49" s="83"/>
      <c r="D49" s="40"/>
      <c r="J49" s="98"/>
      <c r="O49" s="48"/>
    </row>
    <row r="50" spans="1:15" outlineLevel="1" x14ac:dyDescent="0.25">
      <c r="A50" s="81" t="s">
        <v>40</v>
      </c>
      <c r="B50" s="40"/>
      <c r="C50" s="83"/>
      <c r="D50" s="40"/>
      <c r="J50" s="98"/>
      <c r="O50" s="48"/>
    </row>
    <row r="51" spans="1:15" outlineLevel="1" x14ac:dyDescent="0.25">
      <c r="A51" s="81" t="s">
        <v>91</v>
      </c>
      <c r="B51" s="40"/>
      <c r="C51" s="83"/>
      <c r="D51" s="40"/>
      <c r="J51" s="98"/>
      <c r="O51" s="48"/>
    </row>
    <row r="52" spans="1:15" outlineLevel="1" x14ac:dyDescent="0.25">
      <c r="A52" s="81" t="s">
        <v>100</v>
      </c>
      <c r="B52" s="40"/>
      <c r="C52" s="83"/>
      <c r="D52" s="40"/>
      <c r="J52" s="98"/>
      <c r="O52" s="48"/>
    </row>
    <row r="53" spans="1:15" outlineLevel="1" x14ac:dyDescent="0.25">
      <c r="A53" s="81" t="s">
        <v>13</v>
      </c>
      <c r="B53" s="40"/>
      <c r="C53" s="83">
        <f>-SUM(B175:F175)</f>
        <v>-6.3929999999999998</v>
      </c>
      <c r="D53" s="40"/>
      <c r="J53" s="98"/>
      <c r="O53" s="48"/>
    </row>
    <row r="54" spans="1:15" outlineLevel="1" x14ac:dyDescent="0.25">
      <c r="A54" s="81" t="s">
        <v>41</v>
      </c>
      <c r="B54" s="40"/>
      <c r="C54" s="83">
        <f>-SUM(B176:F176)</f>
        <v>-4.1445100000000004</v>
      </c>
      <c r="D54" s="40"/>
      <c r="J54" s="98"/>
      <c r="O54" s="48"/>
    </row>
    <row r="55" spans="1:15" outlineLevel="1" x14ac:dyDescent="0.25">
      <c r="A55" s="81" t="s">
        <v>36</v>
      </c>
      <c r="B55" s="40"/>
      <c r="C55" s="83">
        <f>-SUM(B177:F177)</f>
        <v>-0.35499999999999998</v>
      </c>
      <c r="D55" s="40"/>
      <c r="J55" s="98"/>
      <c r="O55" s="48"/>
    </row>
    <row r="56" spans="1:15" outlineLevel="1" x14ac:dyDescent="0.25">
      <c r="A56" s="81" t="s">
        <v>62</v>
      </c>
      <c r="B56" s="40"/>
      <c r="C56" s="83"/>
      <c r="D56" s="40"/>
      <c r="J56" s="98"/>
      <c r="O56" s="48"/>
    </row>
    <row r="57" spans="1:15" outlineLevel="1" x14ac:dyDescent="0.25">
      <c r="A57" s="81" t="s">
        <v>54</v>
      </c>
      <c r="B57" s="40"/>
      <c r="C57" s="83">
        <f>-SUM(C179:F179)</f>
        <v>-21.229099999999999</v>
      </c>
      <c r="D57" s="40"/>
      <c r="J57" s="98"/>
      <c r="O57" s="48"/>
    </row>
    <row r="58" spans="1:15" outlineLevel="1" x14ac:dyDescent="0.25">
      <c r="A58" s="81" t="s">
        <v>166</v>
      </c>
      <c r="B58" s="40"/>
      <c r="C58" s="83"/>
      <c r="D58" s="40"/>
      <c r="J58" s="98"/>
      <c r="O58" s="48"/>
    </row>
    <row r="59" spans="1:15" outlineLevel="1" x14ac:dyDescent="0.25">
      <c r="A59" s="81" t="s">
        <v>48</v>
      </c>
      <c r="B59" s="40"/>
      <c r="C59" s="83"/>
      <c r="D59" s="40"/>
      <c r="J59" s="98"/>
      <c r="O59" s="48"/>
    </row>
    <row r="60" spans="1:15" outlineLevel="1" x14ac:dyDescent="0.25">
      <c r="A60" s="81" t="s">
        <v>73</v>
      </c>
      <c r="B60" s="40"/>
      <c r="C60" s="83">
        <f>-SUM(C152:F152)</f>
        <v>-3.10128</v>
      </c>
      <c r="D60" s="40"/>
      <c r="J60" s="98"/>
      <c r="O60" s="48"/>
    </row>
    <row r="61" spans="1:15" outlineLevel="1" x14ac:dyDescent="0.25">
      <c r="A61" s="81" t="s">
        <v>66</v>
      </c>
      <c r="B61" s="40"/>
      <c r="C61" s="83">
        <f>-SUM(B181:F181)</f>
        <v>-3.5823700000000001</v>
      </c>
      <c r="D61" s="40"/>
      <c r="J61" s="98"/>
      <c r="O61" s="48"/>
    </row>
    <row r="62" spans="1:15" outlineLevel="1" x14ac:dyDescent="0.25">
      <c r="A62" s="81" t="s">
        <v>80</v>
      </c>
      <c r="B62" s="40"/>
      <c r="C62" s="83">
        <f>-SUM(B148:F148)</f>
        <v>0</v>
      </c>
      <c r="D62" s="40"/>
      <c r="J62" s="98"/>
      <c r="O62" s="48"/>
    </row>
    <row r="63" spans="1:15" outlineLevel="1" x14ac:dyDescent="0.25">
      <c r="A63" s="81" t="s">
        <v>171</v>
      </c>
      <c r="B63" s="40"/>
      <c r="C63" s="83"/>
      <c r="D63" s="40"/>
      <c r="J63" s="98"/>
      <c r="O63" s="48"/>
    </row>
    <row r="64" spans="1:15" outlineLevel="1" x14ac:dyDescent="0.25">
      <c r="A64" s="81" t="s">
        <v>28</v>
      </c>
      <c r="B64" s="40"/>
      <c r="C64" s="83"/>
      <c r="D64" s="40"/>
      <c r="J64" s="98"/>
      <c r="O64" s="48"/>
    </row>
    <row r="65" spans="1:15" outlineLevel="1" x14ac:dyDescent="0.25">
      <c r="A65" s="81" t="s">
        <v>210</v>
      </c>
      <c r="B65" s="40"/>
      <c r="C65" s="83">
        <f>-SUM(C187:F187)</f>
        <v>-16.175000000000001</v>
      </c>
      <c r="D65" s="40"/>
      <c r="J65" s="98"/>
      <c r="O65" s="48"/>
    </row>
    <row r="66" spans="1:15" outlineLevel="1" x14ac:dyDescent="0.25">
      <c r="A66" s="81" t="s">
        <v>188</v>
      </c>
      <c r="B66" s="40"/>
      <c r="C66" s="83"/>
      <c r="D66" s="40"/>
      <c r="J66" s="98"/>
      <c r="O66" s="48"/>
    </row>
    <row r="67" spans="1:15" outlineLevel="1" x14ac:dyDescent="0.25">
      <c r="A67" s="81" t="s">
        <v>208</v>
      </c>
      <c r="B67" s="40"/>
      <c r="C67" s="83">
        <f>-SUM(B183:F183)</f>
        <v>-8.0050600000000003</v>
      </c>
      <c r="D67" s="40"/>
      <c r="J67" s="98"/>
      <c r="O67" s="48"/>
    </row>
    <row r="68" spans="1:15" outlineLevel="1" x14ac:dyDescent="0.25">
      <c r="A68" s="81" t="s">
        <v>211</v>
      </c>
      <c r="B68" s="40"/>
      <c r="C68" s="83">
        <f>-SUM(B189:F189)</f>
        <v>0</v>
      </c>
      <c r="D68" s="40"/>
      <c r="J68" s="98"/>
      <c r="O68" s="48"/>
    </row>
    <row r="69" spans="1:15" outlineLevel="1" x14ac:dyDescent="0.25">
      <c r="A69" s="81" t="s">
        <v>182</v>
      </c>
      <c r="B69" s="40"/>
      <c r="C69" s="83"/>
      <c r="D69" s="40"/>
      <c r="J69" s="98"/>
      <c r="O69" s="48"/>
    </row>
    <row r="70" spans="1:15" outlineLevel="1" x14ac:dyDescent="0.25">
      <c r="A70" s="104" t="s">
        <v>195</v>
      </c>
      <c r="B70" s="105"/>
      <c r="C70" s="105">
        <f>-SUM(C168:F168)</f>
        <v>-54.570999999999998</v>
      </c>
      <c r="D70" s="40"/>
      <c r="J70" s="98"/>
      <c r="O70" s="48"/>
    </row>
    <row r="71" spans="1:15" outlineLevel="1" x14ac:dyDescent="0.25">
      <c r="A71" s="84" t="s">
        <v>150</v>
      </c>
      <c r="B71" s="41"/>
      <c r="C71" s="62">
        <f>-SUM(C165:F165)</f>
        <v>-21.322389999999999</v>
      </c>
      <c r="D71" s="41"/>
      <c r="J71" s="98"/>
      <c r="O71" s="48"/>
    </row>
    <row r="72" spans="1:15" hidden="1" x14ac:dyDescent="0.25">
      <c r="A72" s="34"/>
      <c r="B72" s="40"/>
      <c r="C72" s="40"/>
      <c r="D72" s="40"/>
      <c r="J72" s="98"/>
      <c r="O72" s="48"/>
    </row>
    <row r="73" spans="1:15" hidden="1" x14ac:dyDescent="0.25">
      <c r="A73" s="35" t="s">
        <v>134</v>
      </c>
      <c r="B73" s="42">
        <f>B9+B14+B19+B20+B26+B30</f>
        <v>-455.94113633517702</v>
      </c>
      <c r="C73" s="42">
        <f>C9+C14+C19+C20+C26+C30</f>
        <v>142.41909499999986</v>
      </c>
      <c r="D73" s="42">
        <f>D9+D14+D19+D20+D26+D30</f>
        <v>598.36023133517676</v>
      </c>
      <c r="H73" s="95"/>
      <c r="I73" s="95"/>
      <c r="J73" s="98"/>
      <c r="O73" s="48"/>
    </row>
    <row r="74" spans="1:15" s="1" customFormat="1" hidden="1" x14ac:dyDescent="0.25">
      <c r="A74" s="34"/>
      <c r="B74" s="40"/>
      <c r="C74" s="40"/>
      <c r="D74" s="40"/>
      <c r="F74"/>
      <c r="J74" s="98"/>
      <c r="O74" s="49"/>
    </row>
    <row r="75" spans="1:15" s="1" customFormat="1" hidden="1" x14ac:dyDescent="0.25">
      <c r="A75" s="31" t="s">
        <v>125</v>
      </c>
      <c r="B75" s="43">
        <f>-59.33*B4</f>
        <v>-249.18600000000001</v>
      </c>
      <c r="C75" s="43">
        <f>SUM(C76:C79)</f>
        <v>0</v>
      </c>
      <c r="D75" s="43">
        <f>C75-B75</f>
        <v>249.18600000000001</v>
      </c>
      <c r="F75"/>
      <c r="H75" s="93"/>
      <c r="I75" s="93"/>
      <c r="J75" s="98"/>
      <c r="O75" s="49"/>
    </row>
    <row r="76" spans="1:15" s="1" customFormat="1" outlineLevel="1" x14ac:dyDescent="0.25">
      <c r="A76" s="81" t="s">
        <v>53</v>
      </c>
      <c r="B76" s="40"/>
      <c r="C76" s="40"/>
      <c r="D76" s="40"/>
      <c r="F76"/>
      <c r="J76" s="98"/>
      <c r="O76" s="49"/>
    </row>
    <row r="77" spans="1:15" s="1" customFormat="1" outlineLevel="1" x14ac:dyDescent="0.25">
      <c r="A77" s="81" t="s">
        <v>148</v>
      </c>
      <c r="B77" s="40"/>
      <c r="C77" s="40"/>
      <c r="D77" s="40"/>
      <c r="F77"/>
      <c r="J77" s="98"/>
      <c r="O77" s="49"/>
    </row>
    <row r="78" spans="1:15" s="1" customFormat="1" outlineLevel="1" x14ac:dyDescent="0.25">
      <c r="A78" s="81" t="s">
        <v>209</v>
      </c>
      <c r="B78" s="40"/>
      <c r="C78" s="40">
        <f>-SUM(B182:F182)</f>
        <v>0</v>
      </c>
      <c r="D78" s="40"/>
      <c r="F78"/>
      <c r="J78" s="98"/>
      <c r="O78" s="49"/>
    </row>
    <row r="79" spans="1:15" s="1" customFormat="1" outlineLevel="1" x14ac:dyDescent="0.25">
      <c r="A79" s="81" t="s">
        <v>151</v>
      </c>
      <c r="B79" s="40"/>
      <c r="C79" s="40"/>
      <c r="D79" s="40"/>
      <c r="F79"/>
      <c r="J79" s="98"/>
      <c r="O79" s="49"/>
    </row>
    <row r="80" spans="1:15" hidden="1" x14ac:dyDescent="0.25">
      <c r="A80" s="33" t="s">
        <v>126</v>
      </c>
      <c r="B80" s="40">
        <f>8.0231620925531*B4</f>
        <v>33.69728078872302</v>
      </c>
      <c r="C80" s="40">
        <f>SUM(C81:C86)</f>
        <v>293.07900000000001</v>
      </c>
      <c r="D80" s="40">
        <f>C80-B80</f>
        <v>259.38171921127696</v>
      </c>
      <c r="H80" s="95"/>
      <c r="I80" s="95"/>
      <c r="J80" s="98"/>
      <c r="O80" s="48"/>
    </row>
    <row r="81" spans="1:15" outlineLevel="1" x14ac:dyDescent="0.25">
      <c r="A81" s="81" t="s">
        <v>152</v>
      </c>
      <c r="B81" s="40"/>
      <c r="C81" s="40">
        <f>-E144</f>
        <v>-13</v>
      </c>
      <c r="D81" s="40"/>
      <c r="J81" s="98"/>
      <c r="O81" s="48"/>
    </row>
    <row r="82" spans="1:15" outlineLevel="1" x14ac:dyDescent="0.25">
      <c r="A82" s="81" t="s">
        <v>10</v>
      </c>
      <c r="B82" s="40"/>
      <c r="C82" s="40">
        <f>-SUM(B147:F147)</f>
        <v>-60</v>
      </c>
      <c r="D82" s="40"/>
      <c r="J82" s="98"/>
      <c r="O82" s="48"/>
    </row>
    <row r="83" spans="1:15" outlineLevel="1" x14ac:dyDescent="0.25">
      <c r="A83" s="81" t="s">
        <v>43</v>
      </c>
      <c r="B83" s="40"/>
      <c r="C83" s="40">
        <f>-B150</f>
        <v>0</v>
      </c>
      <c r="D83" s="40"/>
      <c r="J83" s="98"/>
      <c r="O83" s="48"/>
    </row>
    <row r="84" spans="1:15" outlineLevel="1" x14ac:dyDescent="0.25">
      <c r="A84" s="81" t="s">
        <v>194</v>
      </c>
      <c r="B84" s="40"/>
      <c r="C84" s="40">
        <f>B136-B186</f>
        <v>0</v>
      </c>
      <c r="D84" s="40"/>
      <c r="J84" s="98"/>
      <c r="O84" s="48"/>
    </row>
    <row r="85" spans="1:15" outlineLevel="1" x14ac:dyDescent="0.25">
      <c r="A85" s="81" t="s">
        <v>212</v>
      </c>
      <c r="B85" s="40"/>
      <c r="C85" s="40">
        <f>SUM(B135:F135)</f>
        <v>420</v>
      </c>
      <c r="D85" s="40"/>
      <c r="J85" s="98"/>
      <c r="O85" s="48"/>
    </row>
    <row r="86" spans="1:15" outlineLevel="1" x14ac:dyDescent="0.25">
      <c r="A86" s="81" t="s">
        <v>109</v>
      </c>
      <c r="B86" s="40"/>
      <c r="C86" s="40">
        <f>-SUM(C146:F146)</f>
        <v>-53.920999999999999</v>
      </c>
      <c r="D86" s="40"/>
      <c r="J86" s="98"/>
      <c r="O86" s="48"/>
    </row>
    <row r="87" spans="1:15" hidden="1" x14ac:dyDescent="0.25">
      <c r="A87" s="33" t="s">
        <v>127</v>
      </c>
      <c r="B87" s="40">
        <f>-1.11999972306073*B4</f>
        <v>-4.7039988368550656</v>
      </c>
      <c r="C87" s="40"/>
      <c r="D87" s="40">
        <f t="shared" ref="D87:D88" si="0">C87-B87</f>
        <v>4.7039988368550656</v>
      </c>
      <c r="H87" s="95"/>
      <c r="I87" s="95"/>
      <c r="J87" s="98"/>
      <c r="O87" s="48"/>
    </row>
    <row r="88" spans="1:15" hidden="1" x14ac:dyDescent="0.25">
      <c r="A88" s="33" t="s">
        <v>128</v>
      </c>
      <c r="B88" s="40">
        <v>0</v>
      </c>
      <c r="C88" s="40"/>
      <c r="D88" s="40">
        <f t="shared" si="0"/>
        <v>0</v>
      </c>
      <c r="H88" s="95"/>
      <c r="I88" s="95"/>
      <c r="J88" s="98"/>
      <c r="O88" s="48"/>
    </row>
    <row r="89" spans="1:15" hidden="1" x14ac:dyDescent="0.25">
      <c r="A89" s="33" t="s">
        <v>129</v>
      </c>
      <c r="B89" s="40">
        <f>8.31321479356027*B4</f>
        <v>34.915502132953137</v>
      </c>
      <c r="C89" s="40">
        <f>SUM(C90:C91)</f>
        <v>177</v>
      </c>
      <c r="D89" s="40">
        <f>C89-B89</f>
        <v>142.08449786704688</v>
      </c>
      <c r="H89" s="95"/>
      <c r="I89" s="95"/>
      <c r="J89" s="49"/>
      <c r="O89" s="48"/>
    </row>
    <row r="90" spans="1:15" outlineLevel="1" x14ac:dyDescent="0.25">
      <c r="A90" s="81" t="s">
        <v>59</v>
      </c>
      <c r="B90" s="40"/>
      <c r="C90" s="40">
        <f>SUM(B131:F131)</f>
        <v>177</v>
      </c>
      <c r="D90" s="40"/>
      <c r="J90" s="49"/>
      <c r="O90" s="48"/>
    </row>
    <row r="91" spans="1:15" outlineLevel="1" x14ac:dyDescent="0.25">
      <c r="A91" s="84" t="s">
        <v>145</v>
      </c>
      <c r="B91" s="41"/>
      <c r="C91" s="41">
        <f>-SUM(B156:F156)</f>
        <v>0</v>
      </c>
      <c r="D91" s="41"/>
      <c r="J91" s="49"/>
      <c r="O91" s="48"/>
    </row>
    <row r="92" spans="1:15" hidden="1" x14ac:dyDescent="0.25">
      <c r="A92" s="34"/>
      <c r="B92" s="40"/>
      <c r="C92" s="40"/>
      <c r="D92" s="40"/>
      <c r="J92" s="49"/>
      <c r="O92" s="48"/>
    </row>
    <row r="93" spans="1:15" hidden="1" x14ac:dyDescent="0.25">
      <c r="A93" s="35" t="s">
        <v>135</v>
      </c>
      <c r="B93" s="42">
        <f>B75+B80+B87+B88+B89</f>
        <v>-185.27721591517894</v>
      </c>
      <c r="C93" s="42">
        <f>C75+C80+C89+C88+C87</f>
        <v>470.07900000000001</v>
      </c>
      <c r="D93" s="42">
        <f>D75+D80+D87+D88+D89</f>
        <v>655.35621591517884</v>
      </c>
      <c r="H93" s="95"/>
      <c r="I93" s="95"/>
      <c r="J93" s="49"/>
      <c r="O93" s="48"/>
    </row>
    <row r="94" spans="1:15" hidden="1" x14ac:dyDescent="0.25">
      <c r="A94" s="36"/>
      <c r="B94" s="44"/>
      <c r="C94" s="44"/>
      <c r="D94" s="44"/>
      <c r="J94" s="49"/>
      <c r="O94" s="48"/>
    </row>
    <row r="95" spans="1:15" hidden="1" x14ac:dyDescent="0.25">
      <c r="A95" s="37" t="s">
        <v>136</v>
      </c>
      <c r="B95" s="45">
        <f>B93+B73</f>
        <v>-641.21835225035602</v>
      </c>
      <c r="C95" s="45">
        <f>C93+C73</f>
        <v>612.49809499999992</v>
      </c>
      <c r="D95" s="45">
        <f t="shared" ref="D95" si="1">D93+D73</f>
        <v>1253.7164472503555</v>
      </c>
      <c r="H95" s="95"/>
      <c r="I95" s="95"/>
      <c r="J95" s="49"/>
      <c r="O95" s="48"/>
    </row>
    <row r="96" spans="1:15" hidden="1" x14ac:dyDescent="0.25">
      <c r="A96" s="34"/>
      <c r="B96" s="44"/>
      <c r="C96" s="44"/>
      <c r="D96" s="44"/>
      <c r="J96" s="49"/>
      <c r="O96" s="48"/>
    </row>
    <row r="97" spans="1:15" hidden="1" x14ac:dyDescent="0.25">
      <c r="A97" s="31" t="s">
        <v>130</v>
      </c>
      <c r="B97" s="43">
        <v>0</v>
      </c>
      <c r="C97" s="43"/>
      <c r="D97" s="43"/>
      <c r="J97" s="49"/>
      <c r="O97" s="48"/>
    </row>
    <row r="98" spans="1:15" hidden="1" x14ac:dyDescent="0.25">
      <c r="A98" s="33" t="s">
        <v>131</v>
      </c>
      <c r="B98" s="40">
        <v>0</v>
      </c>
      <c r="C98" s="40"/>
      <c r="D98" s="40"/>
      <c r="J98" s="49"/>
      <c r="O98" s="48"/>
    </row>
    <row r="99" spans="1:15" hidden="1" x14ac:dyDescent="0.25">
      <c r="A99" s="33" t="s">
        <v>132</v>
      </c>
      <c r="B99" s="40">
        <v>0</v>
      </c>
      <c r="C99" s="40"/>
      <c r="D99" s="40"/>
      <c r="J99" s="49"/>
      <c r="O99" s="48"/>
    </row>
    <row r="100" spans="1:15" hidden="1" x14ac:dyDescent="0.25">
      <c r="A100" s="33" t="s">
        <v>133</v>
      </c>
      <c r="B100" s="40">
        <f>-42.75*B4</f>
        <v>-179.55</v>
      </c>
      <c r="C100" s="40">
        <f>SUM(C101:C109)</f>
        <v>-3</v>
      </c>
      <c r="D100" s="40">
        <f>C100-B100</f>
        <v>176.55</v>
      </c>
      <c r="H100" s="95"/>
      <c r="I100" s="95"/>
      <c r="J100" s="49"/>
      <c r="O100" s="48"/>
    </row>
    <row r="101" spans="1:15" outlineLevel="1" x14ac:dyDescent="0.25">
      <c r="A101" s="81" t="s">
        <v>80</v>
      </c>
      <c r="B101" s="40"/>
      <c r="C101" s="40"/>
      <c r="D101" s="40"/>
      <c r="J101" s="49"/>
      <c r="O101" s="48"/>
    </row>
    <row r="102" spans="1:15" outlineLevel="1" x14ac:dyDescent="0.25">
      <c r="A102" s="81" t="s">
        <v>9</v>
      </c>
      <c r="B102" s="40"/>
      <c r="C102" s="40"/>
      <c r="D102" s="40"/>
      <c r="J102" s="49"/>
      <c r="O102" s="48"/>
    </row>
    <row r="103" spans="1:15" outlineLevel="1" x14ac:dyDescent="0.25">
      <c r="A103" s="81" t="s">
        <v>73</v>
      </c>
      <c r="B103" s="40"/>
      <c r="C103" s="40"/>
      <c r="D103" s="40"/>
      <c r="J103" s="49"/>
      <c r="O103" s="48"/>
    </row>
    <row r="104" spans="1:15" outlineLevel="1" x14ac:dyDescent="0.25">
      <c r="A104" s="81" t="s">
        <v>62</v>
      </c>
      <c r="B104" s="40"/>
      <c r="C104" s="40"/>
      <c r="D104" s="40"/>
      <c r="J104" s="49"/>
      <c r="O104" s="48"/>
    </row>
    <row r="105" spans="1:15" outlineLevel="1" x14ac:dyDescent="0.25">
      <c r="A105" s="81" t="s">
        <v>24</v>
      </c>
      <c r="B105" s="40"/>
      <c r="C105" s="40"/>
      <c r="D105" s="40"/>
      <c r="J105" s="49"/>
      <c r="O105" s="48"/>
    </row>
    <row r="106" spans="1:15" outlineLevel="1" x14ac:dyDescent="0.25">
      <c r="A106" s="81" t="s">
        <v>68</v>
      </c>
      <c r="B106" s="40"/>
      <c r="C106" s="40"/>
      <c r="D106" s="40"/>
      <c r="J106" s="49"/>
      <c r="O106" s="48"/>
    </row>
    <row r="107" spans="1:15" outlineLevel="1" x14ac:dyDescent="0.25">
      <c r="A107" s="81" t="s">
        <v>25</v>
      </c>
      <c r="B107" s="40"/>
      <c r="C107" s="40"/>
      <c r="D107" s="40"/>
      <c r="J107" s="49"/>
      <c r="O107" s="48"/>
    </row>
    <row r="108" spans="1:15" outlineLevel="1" x14ac:dyDescent="0.25">
      <c r="A108" s="81" t="s">
        <v>94</v>
      </c>
      <c r="B108" s="40"/>
      <c r="C108" s="40"/>
      <c r="D108" s="40"/>
      <c r="J108" s="49"/>
      <c r="O108" s="48"/>
    </row>
    <row r="109" spans="1:15" outlineLevel="1" x14ac:dyDescent="0.25">
      <c r="A109" s="84" t="s">
        <v>164</v>
      </c>
      <c r="B109" s="41"/>
      <c r="C109" s="41">
        <f>-SUM(D174:F174)</f>
        <v>-3</v>
      </c>
      <c r="D109" s="41"/>
      <c r="J109" s="49"/>
      <c r="O109" s="48"/>
    </row>
    <row r="110" spans="1:15" hidden="1" x14ac:dyDescent="0.25">
      <c r="A110" s="34"/>
      <c r="B110" s="44"/>
      <c r="C110" s="44"/>
      <c r="D110" s="44"/>
      <c r="J110" s="49"/>
      <c r="O110" s="48"/>
    </row>
    <row r="111" spans="1:15" hidden="1" x14ac:dyDescent="0.25">
      <c r="A111" s="35" t="s">
        <v>137</v>
      </c>
      <c r="B111" s="42">
        <f>SUM(B97:B100)</f>
        <v>-179.55</v>
      </c>
      <c r="C111" s="42">
        <f>SUM(C97:C100)</f>
        <v>-3</v>
      </c>
      <c r="D111" s="42">
        <f>SUM(D97:D100)</f>
        <v>176.55</v>
      </c>
      <c r="H111" s="95"/>
      <c r="I111" s="95"/>
      <c r="J111" s="49"/>
      <c r="O111" s="48"/>
    </row>
    <row r="112" spans="1:15" hidden="1" x14ac:dyDescent="0.25">
      <c r="A112" s="34"/>
      <c r="B112" s="44"/>
      <c r="C112" s="44"/>
      <c r="D112" s="44"/>
      <c r="J112" s="49"/>
      <c r="O112" s="48"/>
    </row>
    <row r="113" spans="1:15" hidden="1" x14ac:dyDescent="0.25">
      <c r="A113" s="37" t="s">
        <v>138</v>
      </c>
      <c r="B113" s="45">
        <f>B111+B95</f>
        <v>-820.76835225035597</v>
      </c>
      <c r="C113" s="45">
        <f>C111+C95</f>
        <v>609.49809499999992</v>
      </c>
      <c r="D113" s="45">
        <f>D111+D95</f>
        <v>1430.2664472503554</v>
      </c>
      <c r="H113" s="95"/>
      <c r="I113" s="95"/>
      <c r="J113" s="49"/>
      <c r="O113" s="48"/>
    </row>
    <row r="114" spans="1:15" hidden="1" x14ac:dyDescent="0.25">
      <c r="C114" s="92"/>
      <c r="J114" s="49"/>
      <c r="K114" s="48"/>
      <c r="L114" s="48"/>
      <c r="M114" s="48"/>
      <c r="N114" s="48"/>
      <c r="O114" s="48"/>
    </row>
    <row r="115" spans="1:15" hidden="1" x14ac:dyDescent="0.25">
      <c r="C115" s="92"/>
      <c r="J115" s="49"/>
      <c r="K115" s="48"/>
      <c r="L115" s="48"/>
      <c r="M115" s="48"/>
      <c r="N115" s="48"/>
      <c r="O115" s="48"/>
    </row>
    <row r="116" spans="1:15" hidden="1" x14ac:dyDescent="0.25">
      <c r="C116" s="93"/>
      <c r="J116" s="49"/>
      <c r="K116" s="48"/>
      <c r="L116" s="48"/>
      <c r="M116" s="48"/>
      <c r="N116" s="48"/>
      <c r="O116" s="48"/>
    </row>
    <row r="117" spans="1:15" hidden="1" x14ac:dyDescent="0.25">
      <c r="J117" s="49"/>
      <c r="K117" s="48"/>
      <c r="L117" s="48"/>
      <c r="M117" s="48"/>
      <c r="N117" s="48"/>
      <c r="O117" s="48"/>
    </row>
    <row r="118" spans="1:15" x14ac:dyDescent="0.25">
      <c r="J118" s="49"/>
      <c r="K118" s="48"/>
      <c r="L118" s="48"/>
      <c r="M118" s="48"/>
      <c r="N118" s="48"/>
      <c r="O118" s="48"/>
    </row>
    <row r="119" spans="1:15" x14ac:dyDescent="0.25">
      <c r="A119" s="2" t="s">
        <v>6</v>
      </c>
      <c r="B119" s="13">
        <v>18</v>
      </c>
      <c r="C119" s="13">
        <v>19</v>
      </c>
      <c r="D119" s="13">
        <v>20</v>
      </c>
      <c r="E119" s="13">
        <v>21</v>
      </c>
      <c r="F119" s="13">
        <v>22</v>
      </c>
      <c r="I119" s="16">
        <v>2017</v>
      </c>
      <c r="J119" s="49"/>
      <c r="K119" s="48"/>
      <c r="L119" s="48"/>
      <c r="M119" s="48"/>
      <c r="N119" s="48"/>
      <c r="O119" s="48"/>
    </row>
    <row r="120" spans="1:15" x14ac:dyDescent="0.25">
      <c r="A120" s="2"/>
      <c r="B120" s="3" t="s">
        <v>203</v>
      </c>
      <c r="C120" s="3" t="s">
        <v>204</v>
      </c>
      <c r="D120" s="3" t="s">
        <v>205</v>
      </c>
      <c r="E120" s="3" t="s">
        <v>206</v>
      </c>
      <c r="F120" s="3" t="s">
        <v>207</v>
      </c>
      <c r="I120" s="17">
        <v>2016</v>
      </c>
      <c r="J120" s="49"/>
      <c r="K120" s="48"/>
      <c r="L120" s="48"/>
      <c r="M120" s="48"/>
      <c r="N120" s="48"/>
      <c r="O120" s="48"/>
    </row>
    <row r="121" spans="1:15" x14ac:dyDescent="0.25">
      <c r="A121" s="4" t="s">
        <v>0</v>
      </c>
      <c r="B121" s="5">
        <v>199.946</v>
      </c>
      <c r="C121" s="5">
        <f>B252</f>
        <v>401.90485000000001</v>
      </c>
      <c r="D121" s="5">
        <f>C252</f>
        <v>272.53198999999995</v>
      </c>
      <c r="E121" s="5">
        <f>D252</f>
        <v>303.7924799999999</v>
      </c>
      <c r="F121" s="5">
        <f>E252</f>
        <v>545.68943499999978</v>
      </c>
      <c r="G121" s="1"/>
      <c r="H121" s="1"/>
      <c r="J121" s="49"/>
      <c r="K121" s="48"/>
      <c r="L121" s="48"/>
      <c r="M121" s="48"/>
      <c r="N121" s="48"/>
      <c r="O121" s="48"/>
    </row>
    <row r="122" spans="1:15" x14ac:dyDescent="0.25">
      <c r="A122" s="15" t="s">
        <v>1</v>
      </c>
      <c r="B122" s="4"/>
      <c r="C122" s="4"/>
      <c r="D122" s="4"/>
      <c r="E122" s="4"/>
      <c r="F122" s="4"/>
      <c r="G122" s="49"/>
      <c r="H122" s="49"/>
      <c r="I122" s="49"/>
      <c r="J122" s="49"/>
      <c r="K122" s="48"/>
      <c r="L122" s="48"/>
      <c r="M122" s="48"/>
      <c r="N122" s="48"/>
      <c r="O122" s="48"/>
    </row>
    <row r="123" spans="1:15" x14ac:dyDescent="0.25">
      <c r="A123" s="2" t="s">
        <v>2</v>
      </c>
      <c r="B123" s="6"/>
      <c r="C123" s="6"/>
      <c r="D123" s="6"/>
      <c r="E123" s="6"/>
      <c r="F123" s="6"/>
      <c r="G123" s="49"/>
      <c r="H123" s="49"/>
      <c r="I123" s="49"/>
      <c r="J123" s="49"/>
      <c r="K123" s="48"/>
      <c r="L123" s="48"/>
      <c r="M123" s="48"/>
      <c r="N123" s="48"/>
      <c r="O123" s="48"/>
    </row>
    <row r="124" spans="1:15" x14ac:dyDescent="0.25">
      <c r="A124" s="2" t="s">
        <v>39</v>
      </c>
      <c r="B124" s="2"/>
      <c r="C124" s="2"/>
      <c r="D124" s="2"/>
      <c r="E124" s="2"/>
      <c r="F124" s="2"/>
      <c r="G124" s="49"/>
      <c r="H124" s="49"/>
      <c r="I124" s="49"/>
      <c r="J124" s="49"/>
      <c r="K124" s="48"/>
      <c r="L124" s="48"/>
      <c r="M124" s="48"/>
      <c r="N124" s="48"/>
      <c r="O124" s="48"/>
    </row>
    <row r="125" spans="1:15" x14ac:dyDescent="0.25">
      <c r="A125" s="2" t="s">
        <v>3</v>
      </c>
      <c r="B125" s="2"/>
      <c r="C125" s="2"/>
      <c r="D125" s="2"/>
      <c r="E125" s="2"/>
      <c r="F125" s="2"/>
      <c r="G125" s="49"/>
      <c r="H125" s="49"/>
      <c r="I125" s="49"/>
      <c r="J125" s="49"/>
      <c r="K125" s="48"/>
      <c r="L125" s="48"/>
      <c r="M125" s="48"/>
      <c r="N125" s="48"/>
      <c r="O125" s="48"/>
    </row>
    <row r="126" spans="1:15" x14ac:dyDescent="0.25">
      <c r="A126" s="2" t="s">
        <v>4</v>
      </c>
      <c r="B126" s="2"/>
      <c r="C126" s="2"/>
      <c r="D126" s="2"/>
      <c r="E126" s="2"/>
      <c r="F126" s="2"/>
      <c r="G126" s="49"/>
      <c r="H126" s="49"/>
      <c r="I126" s="49"/>
      <c r="J126" s="49"/>
      <c r="K126" s="48"/>
      <c r="L126" s="48"/>
      <c r="M126" s="48"/>
      <c r="N126" s="48"/>
      <c r="O126" s="48"/>
    </row>
    <row r="127" spans="1:15" x14ac:dyDescent="0.25">
      <c r="A127" s="2" t="s">
        <v>32</v>
      </c>
      <c r="B127" s="2"/>
      <c r="C127" s="2"/>
      <c r="D127" s="2"/>
      <c r="E127" s="2"/>
      <c r="F127" s="2"/>
      <c r="G127" s="49"/>
      <c r="H127" s="49"/>
      <c r="I127" s="49"/>
      <c r="J127" s="49"/>
      <c r="K127" s="48"/>
      <c r="L127" s="48"/>
      <c r="M127" s="48"/>
      <c r="N127" s="48"/>
      <c r="O127" s="48"/>
    </row>
    <row r="128" spans="1:15" x14ac:dyDescent="0.25">
      <c r="A128" s="2" t="s">
        <v>74</v>
      </c>
      <c r="B128" s="2"/>
      <c r="C128" s="2"/>
      <c r="D128" s="2"/>
      <c r="F128" s="6"/>
      <c r="G128" s="49"/>
      <c r="H128" s="49"/>
      <c r="I128" s="49"/>
      <c r="J128" s="49"/>
      <c r="K128" s="48"/>
      <c r="L128" s="48"/>
      <c r="M128" s="48"/>
      <c r="N128" s="48"/>
      <c r="O128" s="48"/>
    </row>
    <row r="129" spans="1:15" x14ac:dyDescent="0.25">
      <c r="A129" s="2" t="s">
        <v>217</v>
      </c>
      <c r="B129" s="2"/>
      <c r="C129" s="2"/>
      <c r="D129" s="2"/>
      <c r="E129" s="2">
        <v>294</v>
      </c>
      <c r="F129" s="2"/>
      <c r="G129" s="49"/>
      <c r="H129" s="49"/>
      <c r="I129" s="49"/>
      <c r="J129" s="49"/>
      <c r="K129" s="48"/>
      <c r="L129" s="48"/>
      <c r="M129" s="48"/>
      <c r="N129" s="48"/>
      <c r="O129" s="48"/>
    </row>
    <row r="130" spans="1:15" x14ac:dyDescent="0.25">
      <c r="A130" s="2" t="s">
        <v>99</v>
      </c>
      <c r="B130" s="2"/>
      <c r="C130" s="2"/>
      <c r="D130" s="2"/>
      <c r="E130" s="2"/>
      <c r="F130" s="2"/>
      <c r="G130" s="49"/>
      <c r="H130" s="49"/>
      <c r="I130" s="49"/>
      <c r="J130" s="49"/>
      <c r="K130" s="48"/>
      <c r="L130" s="48"/>
      <c r="M130" s="48"/>
      <c r="N130" s="48"/>
      <c r="O130" s="48"/>
    </row>
    <row r="131" spans="1:15" x14ac:dyDescent="0.25">
      <c r="A131" s="2" t="s">
        <v>59</v>
      </c>
      <c r="B131" s="2"/>
      <c r="C131" s="2"/>
      <c r="D131" s="2"/>
      <c r="E131" s="6">
        <v>177</v>
      </c>
      <c r="F131" s="6"/>
      <c r="G131" s="49"/>
      <c r="H131" s="49"/>
      <c r="I131" s="49"/>
    </row>
    <row r="132" spans="1:15" x14ac:dyDescent="0.25">
      <c r="A132" s="2" t="s">
        <v>33</v>
      </c>
      <c r="B132" s="2"/>
      <c r="C132" s="2"/>
      <c r="D132" s="2"/>
      <c r="E132" s="2"/>
      <c r="F132" s="2"/>
      <c r="G132" s="49"/>
      <c r="H132" s="49"/>
      <c r="I132" s="49"/>
    </row>
    <row r="133" spans="1:15" x14ac:dyDescent="0.25">
      <c r="A133" s="2" t="s">
        <v>214</v>
      </c>
      <c r="B133" s="6">
        <v>201.95885000000001</v>
      </c>
      <c r="C133" s="2">
        <v>202</v>
      </c>
      <c r="D133" s="6">
        <f>203.045+81.807+120</f>
        <v>404.85199999999998</v>
      </c>
      <c r="E133" s="6">
        <f>230.593+196.371+78.548</f>
        <v>505.512</v>
      </c>
      <c r="F133" s="2">
        <v>197.98599999999999</v>
      </c>
      <c r="G133" s="49"/>
      <c r="H133" s="49"/>
      <c r="I133" s="49"/>
    </row>
    <row r="134" spans="1:15" x14ac:dyDescent="0.25">
      <c r="A134" s="2" t="s">
        <v>96</v>
      </c>
      <c r="B134" s="2"/>
      <c r="C134" s="2"/>
      <c r="D134" s="2"/>
      <c r="E134" s="2"/>
      <c r="F134" s="2"/>
      <c r="G134" s="49"/>
      <c r="H134" s="49"/>
      <c r="I134" s="49"/>
    </row>
    <row r="135" spans="1:15" x14ac:dyDescent="0.25">
      <c r="A135" s="2" t="s">
        <v>97</v>
      </c>
      <c r="B135" s="2"/>
      <c r="C135" s="2"/>
      <c r="D135" s="2"/>
      <c r="F135" s="2">
        <v>420</v>
      </c>
      <c r="G135" s="49"/>
      <c r="H135" s="49"/>
      <c r="I135" s="49"/>
      <c r="J135" s="49"/>
      <c r="K135" s="48"/>
      <c r="L135" s="48"/>
      <c r="M135" s="48"/>
      <c r="N135" s="48"/>
      <c r="O135" s="48"/>
    </row>
    <row r="136" spans="1:15" x14ac:dyDescent="0.25">
      <c r="A136" s="2" t="s">
        <v>191</v>
      </c>
      <c r="B136" s="6"/>
      <c r="C136" s="6"/>
      <c r="D136" s="2"/>
      <c r="E136" s="2"/>
      <c r="F136" s="2"/>
      <c r="G136" s="49"/>
      <c r="H136" s="49"/>
      <c r="I136" s="49"/>
      <c r="J136" s="49"/>
      <c r="K136" s="48"/>
      <c r="L136" s="48"/>
      <c r="M136" s="48"/>
      <c r="N136" s="48"/>
      <c r="O136" s="48"/>
    </row>
    <row r="137" spans="1:15" x14ac:dyDescent="0.25">
      <c r="A137" s="2"/>
      <c r="B137" s="2"/>
      <c r="C137" s="2"/>
      <c r="D137" s="2"/>
      <c r="E137" s="2"/>
      <c r="F137" s="2"/>
      <c r="G137" s="49"/>
      <c r="H137" s="49"/>
      <c r="I137" s="49"/>
      <c r="J137" s="49"/>
      <c r="K137" s="48"/>
      <c r="L137" s="48"/>
      <c r="M137" s="48"/>
      <c r="N137" s="48"/>
      <c r="O137" s="48"/>
    </row>
    <row r="138" spans="1:15" x14ac:dyDescent="0.25">
      <c r="A138" s="7" t="s">
        <v>7</v>
      </c>
      <c r="B138" s="8">
        <f>SUM(B123:B137)</f>
        <v>201.95885000000001</v>
      </c>
      <c r="C138" s="8">
        <f>SUM(C123:C137)</f>
        <v>202</v>
      </c>
      <c r="D138" s="8">
        <f>SUM(D123:D137)</f>
        <v>404.85199999999998</v>
      </c>
      <c r="E138" s="8">
        <f>SUM(E123:E137)</f>
        <v>976.51199999999994</v>
      </c>
      <c r="F138" s="8">
        <f>SUM(F123:F137)</f>
        <v>617.98599999999999</v>
      </c>
      <c r="G138" s="49"/>
      <c r="H138" s="49"/>
      <c r="I138" s="49"/>
      <c r="J138" s="49"/>
      <c r="K138" s="48"/>
      <c r="L138" s="48"/>
      <c r="M138" s="48"/>
      <c r="N138" s="48"/>
      <c r="O138" s="48"/>
    </row>
    <row r="139" spans="1:15" x14ac:dyDescent="0.25">
      <c r="A139" s="15" t="s">
        <v>5</v>
      </c>
      <c r="B139" s="4"/>
      <c r="C139" s="4"/>
      <c r="D139" s="4"/>
      <c r="E139" s="4"/>
      <c r="F139" s="4"/>
      <c r="G139" s="49"/>
      <c r="H139" s="49"/>
      <c r="I139" s="49"/>
      <c r="J139" s="49"/>
      <c r="K139" s="48"/>
      <c r="L139" s="48"/>
      <c r="M139" s="48"/>
      <c r="N139" s="48"/>
      <c r="O139" s="48"/>
    </row>
    <row r="140" spans="1:15" x14ac:dyDescent="0.25">
      <c r="A140" s="9" t="s">
        <v>8</v>
      </c>
      <c r="B140" s="2"/>
      <c r="C140" s="2"/>
      <c r="D140" s="58">
        <v>20.25</v>
      </c>
      <c r="E140" s="58">
        <v>20.6874</v>
      </c>
      <c r="G140" s="49"/>
      <c r="H140" s="49"/>
      <c r="I140" s="49"/>
    </row>
    <row r="141" spans="1:15" x14ac:dyDescent="0.25">
      <c r="A141" s="2" t="s">
        <v>22</v>
      </c>
      <c r="B141" s="2"/>
      <c r="C141" s="86"/>
      <c r="D141" s="58">
        <v>45</v>
      </c>
      <c r="E141" s="58">
        <v>81</v>
      </c>
      <c r="F141" s="58">
        <v>81</v>
      </c>
      <c r="G141" s="49"/>
      <c r="H141" s="49"/>
      <c r="I141" s="49"/>
    </row>
    <row r="142" spans="1:15" x14ac:dyDescent="0.25">
      <c r="A142" s="85" t="s">
        <v>103</v>
      </c>
      <c r="B142" s="86"/>
      <c r="C142" s="58">
        <v>234.23542</v>
      </c>
      <c r="D142" s="86"/>
      <c r="E142" s="86"/>
      <c r="F142" s="58">
        <v>45.637</v>
      </c>
      <c r="G142" s="49"/>
      <c r="H142" s="49"/>
      <c r="I142" s="49"/>
    </row>
    <row r="143" spans="1:15" x14ac:dyDescent="0.25">
      <c r="A143" s="61" t="s">
        <v>147</v>
      </c>
      <c r="B143" s="86"/>
      <c r="C143" s="86"/>
      <c r="D143" s="86"/>
      <c r="E143" s="58">
        <v>154.042</v>
      </c>
      <c r="F143" s="86"/>
      <c r="G143" s="68"/>
      <c r="H143" s="68"/>
      <c r="I143" s="69"/>
      <c r="J143" s="49"/>
      <c r="K143" s="48"/>
      <c r="L143" s="48"/>
      <c r="M143" s="48"/>
      <c r="N143" s="48"/>
      <c r="O143" s="48"/>
    </row>
    <row r="144" spans="1:15" x14ac:dyDescent="0.25">
      <c r="A144" s="61" t="s">
        <v>152</v>
      </c>
      <c r="B144" s="86"/>
      <c r="C144" s="86"/>
      <c r="D144" s="86"/>
      <c r="E144" s="58">
        <v>13</v>
      </c>
      <c r="F144" s="86"/>
      <c r="G144" s="106">
        <f>SUM(B143:F144)</f>
        <v>167.042</v>
      </c>
      <c r="H144" s="71" t="s">
        <v>156</v>
      </c>
      <c r="I144" s="72"/>
      <c r="J144" s="49"/>
      <c r="K144" s="48"/>
      <c r="L144" s="48"/>
      <c r="M144" s="48"/>
      <c r="N144" s="48"/>
      <c r="O144" s="48"/>
    </row>
    <row r="145" spans="1:15" x14ac:dyDescent="0.25">
      <c r="A145" s="9" t="s">
        <v>29</v>
      </c>
      <c r="B145" s="86"/>
      <c r="C145" s="86"/>
      <c r="D145" s="58">
        <v>66.83</v>
      </c>
      <c r="E145" s="86"/>
      <c r="F145" s="86"/>
      <c r="G145" s="49"/>
      <c r="H145" s="49"/>
      <c r="I145" s="49"/>
      <c r="J145" s="49"/>
      <c r="K145" s="48"/>
      <c r="L145" s="48"/>
      <c r="M145" s="48"/>
      <c r="N145" s="48"/>
      <c r="O145" s="48"/>
    </row>
    <row r="146" spans="1:15" x14ac:dyDescent="0.25">
      <c r="A146" s="10" t="s">
        <v>189</v>
      </c>
      <c r="B146" s="2"/>
      <c r="C146" s="58">
        <v>53.920999999999999</v>
      </c>
      <c r="D146" s="86"/>
      <c r="E146" s="86"/>
      <c r="F146" s="86"/>
      <c r="G146" s="49"/>
      <c r="H146" s="49"/>
      <c r="I146" s="49"/>
      <c r="J146" s="49"/>
      <c r="K146" s="48"/>
      <c r="L146" s="48"/>
      <c r="M146" s="48"/>
      <c r="N146" s="48"/>
      <c r="O146" s="48"/>
    </row>
    <row r="147" spans="1:15" x14ac:dyDescent="0.25">
      <c r="A147" s="10" t="s">
        <v>10</v>
      </c>
      <c r="B147" s="86"/>
      <c r="C147" s="58">
        <v>15</v>
      </c>
      <c r="D147" s="58">
        <v>15</v>
      </c>
      <c r="E147" s="58">
        <v>15</v>
      </c>
      <c r="F147" s="58">
        <v>15</v>
      </c>
      <c r="G147" s="49"/>
      <c r="H147" s="49"/>
      <c r="I147" s="49"/>
      <c r="J147" s="49"/>
      <c r="K147" s="48"/>
      <c r="L147" s="48"/>
      <c r="M147" s="48"/>
      <c r="N147" s="48"/>
      <c r="O147" s="48"/>
    </row>
    <row r="148" spans="1:15" x14ac:dyDescent="0.25">
      <c r="A148" s="2" t="s">
        <v>80</v>
      </c>
      <c r="B148" s="86"/>
      <c r="C148" s="86"/>
      <c r="D148" s="86"/>
      <c r="E148" s="86"/>
      <c r="F148" s="86"/>
      <c r="G148" s="49"/>
      <c r="H148" s="49"/>
      <c r="I148" s="49"/>
      <c r="J148" s="49"/>
      <c r="K148" s="48"/>
      <c r="L148" s="48"/>
      <c r="M148" s="48"/>
      <c r="N148" s="48"/>
      <c r="O148" s="48"/>
    </row>
    <row r="149" spans="1:15" x14ac:dyDescent="0.25">
      <c r="A149" s="10" t="s">
        <v>9</v>
      </c>
      <c r="B149" s="2"/>
      <c r="C149" s="2"/>
      <c r="D149" s="2"/>
      <c r="E149" s="86"/>
      <c r="F149" s="58">
        <v>40.841200000000001</v>
      </c>
      <c r="G149" s="49"/>
      <c r="H149" s="49"/>
      <c r="I149" s="49"/>
      <c r="J149" s="49"/>
      <c r="K149" s="48"/>
      <c r="L149" s="48"/>
      <c r="M149" s="48"/>
      <c r="N149" s="48"/>
      <c r="O149" s="48"/>
    </row>
    <row r="150" spans="1:15" x14ac:dyDescent="0.25">
      <c r="A150" s="2" t="s">
        <v>43</v>
      </c>
      <c r="B150" s="86"/>
      <c r="C150" s="86"/>
      <c r="D150" s="86"/>
      <c r="E150" s="86"/>
      <c r="F150" s="86"/>
      <c r="G150" s="49"/>
      <c r="H150" s="49"/>
      <c r="I150" s="49"/>
      <c r="J150" s="49"/>
      <c r="K150" s="48"/>
      <c r="L150" s="48"/>
      <c r="M150" s="48"/>
      <c r="N150" s="48"/>
      <c r="O150" s="48"/>
    </row>
    <row r="151" spans="1:15" x14ac:dyDescent="0.25">
      <c r="A151" s="2" t="s">
        <v>111</v>
      </c>
      <c r="B151" s="86"/>
      <c r="C151" s="2"/>
      <c r="D151" s="58">
        <v>37.651000000000003</v>
      </c>
      <c r="E151" s="86"/>
      <c r="F151" s="86"/>
      <c r="G151" s="49"/>
      <c r="H151" s="49"/>
      <c r="I151" s="49"/>
      <c r="J151" s="49"/>
      <c r="K151" s="48"/>
      <c r="L151" s="48"/>
      <c r="M151" s="48"/>
      <c r="N151" s="48"/>
      <c r="O151" s="48"/>
    </row>
    <row r="152" spans="1:15" x14ac:dyDescent="0.25">
      <c r="A152" s="2" t="s">
        <v>73</v>
      </c>
      <c r="B152" s="2"/>
      <c r="C152" s="86"/>
      <c r="D152" s="86"/>
      <c r="E152" s="58">
        <v>3.10128</v>
      </c>
      <c r="F152" s="107"/>
      <c r="G152" s="49"/>
      <c r="H152" s="49"/>
      <c r="I152" s="49"/>
      <c r="J152" s="49"/>
      <c r="K152" s="48"/>
      <c r="L152" s="48"/>
      <c r="M152" s="48"/>
      <c r="N152" s="48"/>
      <c r="O152" s="48"/>
    </row>
    <row r="153" spans="1:15" x14ac:dyDescent="0.25">
      <c r="A153" s="2" t="s">
        <v>62</v>
      </c>
      <c r="B153" s="86"/>
      <c r="C153" s="86"/>
      <c r="D153" s="86"/>
      <c r="E153" s="86"/>
      <c r="F153" s="86"/>
      <c r="G153" s="49"/>
      <c r="H153" s="49"/>
      <c r="I153" s="49"/>
      <c r="J153" s="49"/>
      <c r="K153" s="48"/>
      <c r="L153" s="48"/>
      <c r="M153" s="48"/>
      <c r="N153" s="48"/>
      <c r="O153" s="48"/>
    </row>
    <row r="154" spans="1:15" x14ac:dyDescent="0.25">
      <c r="A154" s="2" t="s">
        <v>52</v>
      </c>
      <c r="B154" s="86"/>
      <c r="C154" s="86"/>
      <c r="D154" s="86"/>
      <c r="E154" s="86"/>
      <c r="F154" s="58">
        <v>5.165</v>
      </c>
      <c r="G154" s="49"/>
      <c r="H154" s="49"/>
      <c r="I154" s="49"/>
      <c r="J154" s="49"/>
      <c r="K154" s="48"/>
      <c r="L154" s="48"/>
      <c r="M154" s="48"/>
      <c r="N154" s="48"/>
      <c r="O154" s="48"/>
    </row>
    <row r="155" spans="1:15" x14ac:dyDescent="0.25">
      <c r="A155" s="10" t="s">
        <v>12</v>
      </c>
      <c r="B155" s="86"/>
      <c r="C155" s="58">
        <v>1.536</v>
      </c>
      <c r="D155" s="86"/>
      <c r="E155" s="86"/>
      <c r="F155" s="58">
        <v>2.3969999999999998</v>
      </c>
      <c r="G155" s="49"/>
      <c r="H155" s="49"/>
      <c r="I155" s="49"/>
      <c r="J155" s="49"/>
      <c r="K155" s="48"/>
      <c r="L155" s="48"/>
      <c r="M155" s="48"/>
      <c r="N155" s="48"/>
      <c r="O155" s="48"/>
    </row>
    <row r="156" spans="1:15" x14ac:dyDescent="0.25">
      <c r="A156" s="59" t="s">
        <v>145</v>
      </c>
      <c r="B156" s="86"/>
      <c r="C156" s="86"/>
      <c r="D156" s="86"/>
      <c r="E156" s="86"/>
      <c r="F156" s="86"/>
      <c r="G156" s="68"/>
      <c r="H156" s="68"/>
      <c r="I156" s="69"/>
      <c r="J156" s="49"/>
      <c r="K156" s="48"/>
      <c r="L156" s="48"/>
      <c r="M156" s="48"/>
      <c r="N156" s="48"/>
      <c r="O156" s="48"/>
    </row>
    <row r="157" spans="1:15" x14ac:dyDescent="0.25">
      <c r="A157" s="59" t="s">
        <v>146</v>
      </c>
      <c r="B157" s="86"/>
      <c r="C157" s="86"/>
      <c r="D157" s="86"/>
      <c r="E157" s="58">
        <v>51.351999999999997</v>
      </c>
      <c r="F157" s="86"/>
      <c r="G157" s="106">
        <f>SUM(B156:F157)</f>
        <v>51.351999999999997</v>
      </c>
      <c r="H157" s="71" t="s">
        <v>155</v>
      </c>
      <c r="I157" s="72"/>
      <c r="J157" s="49"/>
      <c r="K157" s="48"/>
      <c r="L157" s="48"/>
      <c r="M157" s="48"/>
      <c r="N157" s="48"/>
      <c r="O157" s="48"/>
    </row>
    <row r="158" spans="1:15" x14ac:dyDescent="0.25">
      <c r="A158" s="2" t="s">
        <v>24</v>
      </c>
      <c r="B158" s="2"/>
      <c r="C158" s="58">
        <v>18</v>
      </c>
      <c r="D158" s="58">
        <v>22.5</v>
      </c>
      <c r="E158" s="2"/>
      <c r="F158" s="58">
        <v>27.382200000000001</v>
      </c>
      <c r="G158" s="64"/>
      <c r="H158" s="64"/>
      <c r="I158" s="64"/>
      <c r="J158" s="49"/>
      <c r="K158" s="48"/>
      <c r="L158" s="48"/>
      <c r="M158" s="48"/>
      <c r="N158" s="48"/>
      <c r="O158" s="48"/>
    </row>
    <row r="159" spans="1:15" x14ac:dyDescent="0.25">
      <c r="A159" s="2" t="s">
        <v>68</v>
      </c>
      <c r="B159" s="86"/>
      <c r="C159" s="86"/>
      <c r="D159" s="2"/>
      <c r="E159" s="86"/>
      <c r="F159" s="58">
        <v>36.079929999999997</v>
      </c>
      <c r="G159" s="64"/>
      <c r="H159" s="64"/>
      <c r="I159" s="64"/>
      <c r="J159" s="49"/>
      <c r="K159" s="48"/>
      <c r="L159" s="48"/>
      <c r="M159" s="48"/>
      <c r="N159" s="48"/>
      <c r="O159" s="48"/>
    </row>
    <row r="160" spans="1:15" x14ac:dyDescent="0.25">
      <c r="A160" s="59" t="s">
        <v>148</v>
      </c>
      <c r="B160" s="86"/>
      <c r="C160" s="86"/>
      <c r="D160" s="86"/>
      <c r="E160" s="2"/>
      <c r="F160" s="108"/>
      <c r="G160" s="68"/>
      <c r="H160" s="68"/>
      <c r="I160" s="69"/>
      <c r="J160" s="49"/>
      <c r="K160" s="48"/>
      <c r="L160" s="48"/>
      <c r="M160" s="48"/>
      <c r="N160" s="48"/>
      <c r="O160" s="48"/>
    </row>
    <row r="161" spans="1:15" x14ac:dyDescent="0.25">
      <c r="A161" s="59" t="s">
        <v>149</v>
      </c>
      <c r="B161" s="86"/>
      <c r="C161" s="2"/>
      <c r="D161" s="86"/>
      <c r="F161" s="58">
        <v>1.1359999999999999</v>
      </c>
      <c r="G161" s="106">
        <f>SUM(B160:F161)</f>
        <v>1.1359999999999999</v>
      </c>
      <c r="H161" s="71" t="s">
        <v>157</v>
      </c>
      <c r="I161" s="72"/>
      <c r="J161" s="49"/>
      <c r="K161" s="48"/>
      <c r="L161" s="48"/>
      <c r="M161" s="48"/>
      <c r="N161" s="48"/>
      <c r="O161" s="48"/>
    </row>
    <row r="162" spans="1:15" x14ac:dyDescent="0.25">
      <c r="A162" s="2" t="s">
        <v>25</v>
      </c>
      <c r="B162" s="2"/>
      <c r="C162" s="86"/>
      <c r="D162" s="86"/>
      <c r="E162" s="2"/>
      <c r="F162" s="58">
        <v>16.895</v>
      </c>
      <c r="G162" s="64"/>
      <c r="H162" s="64"/>
      <c r="I162" s="64"/>
      <c r="J162" s="49"/>
      <c r="K162" s="48"/>
      <c r="L162" s="48"/>
      <c r="M162" s="48"/>
      <c r="N162" s="48"/>
      <c r="O162" s="48"/>
    </row>
    <row r="163" spans="1:15" x14ac:dyDescent="0.25">
      <c r="A163" s="10" t="s">
        <v>28</v>
      </c>
      <c r="B163" s="86"/>
      <c r="C163" s="86"/>
      <c r="D163" s="86"/>
      <c r="E163" s="86"/>
      <c r="F163" s="86"/>
      <c r="G163" s="64"/>
      <c r="H163" s="64"/>
      <c r="I163" s="64"/>
      <c r="J163" s="49"/>
      <c r="K163" s="48"/>
      <c r="L163" s="48"/>
      <c r="M163" s="48"/>
      <c r="N163" s="48"/>
      <c r="O163" s="48"/>
    </row>
    <row r="164" spans="1:15" x14ac:dyDescent="0.25">
      <c r="A164" s="59" t="s">
        <v>151</v>
      </c>
      <c r="B164" s="86"/>
      <c r="C164" s="89"/>
      <c r="D164" s="86"/>
      <c r="E164" s="86"/>
      <c r="F164" s="86"/>
      <c r="G164" s="68"/>
      <c r="H164" s="68"/>
      <c r="I164" s="69"/>
      <c r="J164" s="49"/>
      <c r="K164" s="48"/>
      <c r="L164" s="48"/>
      <c r="M164" s="48"/>
      <c r="N164" s="48"/>
      <c r="O164" s="48"/>
    </row>
    <row r="165" spans="1:15" x14ac:dyDescent="0.25">
      <c r="A165" s="59" t="s">
        <v>150</v>
      </c>
      <c r="B165" s="2"/>
      <c r="C165" s="58">
        <f>2.499+1.17644+0.65</f>
        <v>4.3254400000000004</v>
      </c>
      <c r="D165" s="2"/>
      <c r="E165" s="58">
        <f>1.61349+0.39508+0.7021+1.20173+1.65648</f>
        <v>5.5688800000000001</v>
      </c>
      <c r="F165" s="58">
        <v>11.42807</v>
      </c>
      <c r="G165" s="106">
        <f>SUM(B164:F165)</f>
        <v>21.322389999999999</v>
      </c>
      <c r="H165" s="71" t="s">
        <v>158</v>
      </c>
      <c r="I165" s="72"/>
      <c r="J165" s="49"/>
      <c r="K165" s="48"/>
      <c r="L165" s="48"/>
      <c r="M165" s="48"/>
      <c r="N165" s="48"/>
      <c r="O165" s="48"/>
    </row>
    <row r="166" spans="1:15" x14ac:dyDescent="0.25">
      <c r="A166" s="2" t="s">
        <v>94</v>
      </c>
      <c r="B166" s="2"/>
      <c r="C166" s="86"/>
      <c r="D166" s="86"/>
      <c r="E166" s="86"/>
      <c r="F166" s="58">
        <v>1.51258</v>
      </c>
      <c r="G166" s="49"/>
      <c r="H166" s="49"/>
      <c r="I166" s="49"/>
      <c r="J166" s="49"/>
      <c r="K166" s="48"/>
      <c r="L166" s="48"/>
      <c r="M166" s="48"/>
      <c r="N166" s="48"/>
      <c r="O166" s="48"/>
    </row>
    <row r="167" spans="1:15" hidden="1" x14ac:dyDescent="0.25">
      <c r="A167" s="100" t="s">
        <v>192</v>
      </c>
      <c r="B167" s="86"/>
      <c r="C167" s="86"/>
      <c r="D167" s="86"/>
      <c r="E167" s="86"/>
      <c r="F167" s="86"/>
      <c r="G167" s="49"/>
      <c r="H167" s="49"/>
      <c r="I167" s="49"/>
      <c r="J167" s="49"/>
      <c r="K167" s="48"/>
      <c r="L167" s="48"/>
      <c r="M167" s="48"/>
      <c r="N167" s="48"/>
      <c r="O167" s="48"/>
    </row>
    <row r="168" spans="1:15" x14ac:dyDescent="0.25">
      <c r="A168" s="100" t="s">
        <v>193</v>
      </c>
      <c r="B168" s="2"/>
      <c r="C168" s="86"/>
      <c r="E168" s="58">
        <v>54.570999999999998</v>
      </c>
      <c r="F168" s="86"/>
      <c r="G168" s="49"/>
      <c r="H168" s="49"/>
      <c r="I168" s="49"/>
      <c r="J168" s="49"/>
      <c r="K168" s="48"/>
      <c r="L168" s="48"/>
      <c r="M168" s="48"/>
      <c r="N168" s="48"/>
      <c r="O168" s="48"/>
    </row>
    <row r="169" spans="1:15" x14ac:dyDescent="0.25">
      <c r="A169" s="2" t="s">
        <v>98</v>
      </c>
      <c r="B169" s="86"/>
      <c r="C169" s="58">
        <v>4</v>
      </c>
      <c r="D169" s="86"/>
      <c r="E169" s="86"/>
      <c r="F169" s="86"/>
      <c r="G169" s="49"/>
      <c r="H169" s="49"/>
      <c r="I169" s="49"/>
      <c r="J169" s="49"/>
      <c r="K169" s="48"/>
      <c r="L169" s="48"/>
      <c r="M169" s="48"/>
      <c r="N169" s="48"/>
      <c r="O169" s="48"/>
    </row>
    <row r="170" spans="1:15" x14ac:dyDescent="0.25">
      <c r="A170" s="2" t="s">
        <v>42</v>
      </c>
      <c r="B170" s="86"/>
      <c r="C170" s="2"/>
      <c r="D170" s="86"/>
      <c r="E170" s="58">
        <v>4.7276600000000002</v>
      </c>
      <c r="F170" s="86"/>
      <c r="G170" s="49"/>
      <c r="H170" s="49"/>
      <c r="I170" s="49"/>
      <c r="J170" s="49"/>
      <c r="K170" s="48"/>
      <c r="L170" s="48"/>
      <c r="M170" s="48"/>
      <c r="N170" s="48"/>
      <c r="O170" s="48"/>
    </row>
    <row r="171" spans="1:15" x14ac:dyDescent="0.25">
      <c r="A171" s="2" t="s">
        <v>76</v>
      </c>
      <c r="B171" s="2"/>
      <c r="C171" s="2"/>
      <c r="D171" s="2"/>
      <c r="E171" s="86"/>
      <c r="F171" s="58">
        <v>0.73089000000000004</v>
      </c>
      <c r="G171" s="49"/>
      <c r="H171" s="49"/>
      <c r="I171" s="49"/>
      <c r="J171" s="49"/>
      <c r="K171" s="48"/>
      <c r="L171" s="48"/>
      <c r="M171" s="48"/>
      <c r="N171" s="48"/>
      <c r="O171" s="48"/>
    </row>
    <row r="172" spans="1:15" x14ac:dyDescent="0.25">
      <c r="A172" s="2" t="s">
        <v>30</v>
      </c>
      <c r="B172" s="2"/>
      <c r="C172" s="2"/>
      <c r="D172" s="86"/>
      <c r="F172" s="58">
        <v>30</v>
      </c>
      <c r="G172" s="49"/>
      <c r="H172" s="49"/>
      <c r="I172" s="49"/>
      <c r="J172" s="49"/>
      <c r="K172" s="48"/>
      <c r="L172" s="48"/>
      <c r="M172" s="48"/>
      <c r="N172" s="48"/>
      <c r="O172" s="48"/>
    </row>
    <row r="173" spans="1:15" x14ac:dyDescent="0.25">
      <c r="A173" s="9" t="s">
        <v>15</v>
      </c>
      <c r="B173" s="86"/>
      <c r="C173" s="2"/>
      <c r="D173" s="58">
        <v>150.68100000000001</v>
      </c>
      <c r="E173" s="86"/>
      <c r="F173" s="86"/>
      <c r="G173" s="49"/>
      <c r="H173" s="49"/>
      <c r="I173" s="49"/>
      <c r="J173" s="49"/>
      <c r="K173" s="48"/>
      <c r="L173" s="48"/>
      <c r="M173" s="48"/>
      <c r="N173" s="48"/>
      <c r="O173" s="48"/>
    </row>
    <row r="174" spans="1:15" x14ac:dyDescent="0.25">
      <c r="A174" s="2" t="s">
        <v>34</v>
      </c>
      <c r="B174" s="2"/>
      <c r="C174" s="2"/>
      <c r="D174" s="58">
        <v>3</v>
      </c>
      <c r="E174" s="86"/>
      <c r="F174" s="91"/>
      <c r="G174" s="49"/>
      <c r="H174" s="49"/>
      <c r="I174" s="49"/>
      <c r="J174" s="49"/>
      <c r="K174" s="48"/>
      <c r="L174" s="48"/>
      <c r="M174" s="48"/>
      <c r="N174" s="48"/>
      <c r="O174" s="48"/>
    </row>
    <row r="175" spans="1:15" x14ac:dyDescent="0.25">
      <c r="A175" s="10" t="s">
        <v>13</v>
      </c>
      <c r="B175" s="86"/>
      <c r="C175" s="86"/>
      <c r="D175" s="58">
        <v>6.3929999999999998</v>
      </c>
      <c r="E175" s="86"/>
      <c r="F175" s="86"/>
      <c r="G175" s="49"/>
      <c r="H175" s="49"/>
      <c r="I175" s="49"/>
      <c r="J175" s="49"/>
      <c r="K175" s="48"/>
      <c r="L175" s="48"/>
      <c r="M175" s="48"/>
      <c r="N175" s="48"/>
      <c r="O175" s="48"/>
    </row>
    <row r="176" spans="1:15" x14ac:dyDescent="0.25">
      <c r="A176" s="2" t="s">
        <v>41</v>
      </c>
      <c r="B176" s="86"/>
      <c r="C176" s="2"/>
      <c r="D176" s="58">
        <v>4.1445100000000004</v>
      </c>
      <c r="E176" s="86"/>
      <c r="F176" s="86"/>
      <c r="G176" s="49"/>
      <c r="H176" s="49"/>
      <c r="I176" s="49"/>
      <c r="J176" s="49"/>
      <c r="K176" s="48"/>
      <c r="L176" s="48"/>
      <c r="M176" s="48"/>
      <c r="N176" s="48"/>
      <c r="O176" s="48"/>
    </row>
    <row r="177" spans="1:15" x14ac:dyDescent="0.25">
      <c r="A177" s="2" t="s">
        <v>36</v>
      </c>
      <c r="B177" s="86"/>
      <c r="C177" s="58">
        <v>0.35499999999999998</v>
      </c>
      <c r="D177" s="86"/>
      <c r="E177" s="86"/>
      <c r="F177" s="58"/>
      <c r="G177" s="49"/>
      <c r="H177" s="49"/>
      <c r="I177" s="49"/>
      <c r="J177" s="49"/>
      <c r="K177" s="48"/>
      <c r="L177" s="48"/>
      <c r="M177" s="48"/>
      <c r="N177" s="48"/>
      <c r="O177" s="48"/>
    </row>
    <row r="178" spans="1:15" hidden="1" x14ac:dyDescent="0.25">
      <c r="A178" s="2" t="s">
        <v>71</v>
      </c>
      <c r="B178" s="86"/>
      <c r="C178" s="86"/>
      <c r="D178" s="86"/>
      <c r="E178" s="86"/>
      <c r="F178" s="86"/>
      <c r="G178" s="49"/>
      <c r="H178" s="49"/>
      <c r="I178" s="49"/>
      <c r="J178" s="49"/>
      <c r="K178" s="48"/>
      <c r="L178" s="48"/>
      <c r="M178" s="48"/>
      <c r="N178" s="48"/>
      <c r="O178" s="48"/>
    </row>
    <row r="179" spans="1:15" s="1" customFormat="1" x14ac:dyDescent="0.25">
      <c r="A179" s="2" t="s">
        <v>54</v>
      </c>
      <c r="B179" s="4"/>
      <c r="C179" s="4"/>
      <c r="D179" s="58">
        <v>2.1419999999999999</v>
      </c>
      <c r="E179" s="86"/>
      <c r="F179" s="58">
        <v>19.0871</v>
      </c>
      <c r="G179" s="49"/>
      <c r="H179" s="49"/>
      <c r="I179" s="49"/>
      <c r="J179" s="49"/>
      <c r="K179" s="48"/>
      <c r="L179" s="48"/>
      <c r="M179" s="48"/>
      <c r="N179" s="48"/>
      <c r="O179" s="48"/>
    </row>
    <row r="180" spans="1:15" x14ac:dyDescent="0.25">
      <c r="A180" s="2" t="s">
        <v>23</v>
      </c>
      <c r="B180" s="2"/>
      <c r="C180" s="86"/>
      <c r="D180" s="2"/>
      <c r="E180" s="58">
        <v>3.5737649999999999</v>
      </c>
      <c r="F180" s="58"/>
      <c r="G180" s="49"/>
      <c r="H180" s="49"/>
      <c r="I180" s="49"/>
    </row>
    <row r="181" spans="1:15" s="1" customFormat="1" x14ac:dyDescent="0.25">
      <c r="A181" s="2" t="s">
        <v>218</v>
      </c>
      <c r="B181" s="86"/>
      <c r="C181" s="86"/>
      <c r="D181" s="86"/>
      <c r="E181" s="4"/>
      <c r="F181" s="58">
        <f>1.68237+1.9</f>
        <v>3.5823700000000001</v>
      </c>
      <c r="G181" s="49"/>
      <c r="H181" s="49"/>
      <c r="I181" s="49"/>
      <c r="J181" s="49"/>
      <c r="K181" s="48"/>
      <c r="L181" s="48"/>
      <c r="M181" s="48"/>
      <c r="N181" s="48"/>
      <c r="O181" s="48"/>
    </row>
    <row r="182" spans="1:15" x14ac:dyDescent="0.25">
      <c r="A182" s="2" t="s">
        <v>209</v>
      </c>
      <c r="B182" s="86"/>
      <c r="C182" s="86"/>
      <c r="D182" s="2"/>
      <c r="F182" s="58"/>
      <c r="G182" s="49"/>
      <c r="H182" s="49"/>
      <c r="I182" s="49"/>
    </row>
    <row r="183" spans="1:15" x14ac:dyDescent="0.25">
      <c r="A183" s="2" t="s">
        <v>208</v>
      </c>
      <c r="B183" s="2"/>
      <c r="C183" s="86"/>
      <c r="D183" s="86"/>
      <c r="E183" s="58">
        <v>8.0050600000000003</v>
      </c>
      <c r="F183" s="86"/>
      <c r="G183" s="49"/>
      <c r="H183" s="49"/>
      <c r="I183" s="49"/>
    </row>
    <row r="184" spans="1:15" x14ac:dyDescent="0.25">
      <c r="A184" s="2" t="s">
        <v>183</v>
      </c>
      <c r="B184" s="86"/>
      <c r="C184" s="86"/>
      <c r="D184" s="86"/>
      <c r="F184" s="58">
        <v>4.2679999999999998</v>
      </c>
      <c r="G184" s="49"/>
      <c r="H184" s="49"/>
      <c r="I184" s="49"/>
    </row>
    <row r="185" spans="1:15" x14ac:dyDescent="0.25">
      <c r="A185" s="2" t="s">
        <v>190</v>
      </c>
      <c r="B185" s="2"/>
      <c r="C185" s="86"/>
      <c r="D185" s="2"/>
      <c r="E185" s="58">
        <v>18.899999999999999</v>
      </c>
      <c r="F185" s="86"/>
      <c r="G185" s="49"/>
      <c r="H185" s="49"/>
      <c r="I185" s="49"/>
    </row>
    <row r="186" spans="1:15" hidden="1" x14ac:dyDescent="0.25">
      <c r="A186" s="2" t="s">
        <v>202</v>
      </c>
      <c r="B186" s="86"/>
      <c r="C186" s="86"/>
      <c r="D186" s="86"/>
      <c r="E186" s="86"/>
      <c r="F186" s="86"/>
      <c r="G186" s="49"/>
      <c r="H186" s="49"/>
      <c r="I186" s="49"/>
    </row>
    <row r="187" spans="1:15" x14ac:dyDescent="0.25">
      <c r="A187" s="2" t="s">
        <v>210</v>
      </c>
      <c r="B187" s="2"/>
      <c r="C187" s="86"/>
      <c r="D187" s="86"/>
      <c r="E187" s="58">
        <v>16.175000000000001</v>
      </c>
      <c r="F187" s="86"/>
      <c r="G187" s="49"/>
      <c r="H187" s="49"/>
      <c r="I187" s="49"/>
    </row>
    <row r="188" spans="1:15" x14ac:dyDescent="0.25">
      <c r="A188" s="2" t="s">
        <v>215</v>
      </c>
      <c r="B188" s="86"/>
      <c r="C188" s="86"/>
      <c r="D188" s="86"/>
      <c r="E188" s="86">
        <v>1.8</v>
      </c>
      <c r="F188" s="86"/>
      <c r="G188" s="49"/>
      <c r="H188" s="49"/>
      <c r="I188" s="49"/>
    </row>
    <row r="189" spans="1:15" x14ac:dyDescent="0.25">
      <c r="A189" s="2" t="s">
        <v>211</v>
      </c>
      <c r="B189" s="86"/>
      <c r="C189" s="86"/>
      <c r="D189" s="86"/>
      <c r="F189" s="58"/>
      <c r="G189" s="49"/>
      <c r="H189" s="49"/>
      <c r="I189" s="49"/>
      <c r="J189" s="49"/>
      <c r="K189" s="48"/>
      <c r="L189" s="48"/>
      <c r="M189" s="48"/>
      <c r="N189" s="48"/>
      <c r="O189" s="48"/>
    </row>
    <row r="190" spans="1:15" x14ac:dyDescent="0.25">
      <c r="A190" s="2" t="s">
        <v>216</v>
      </c>
      <c r="B190" s="86"/>
      <c r="C190" s="86"/>
      <c r="D190" s="86"/>
      <c r="E190" s="86">
        <v>283.11099999999999</v>
      </c>
      <c r="F190" s="86"/>
      <c r="G190" s="49"/>
      <c r="H190" s="49"/>
      <c r="I190" s="49"/>
    </row>
    <row r="191" spans="1:15" hidden="1" x14ac:dyDescent="0.25">
      <c r="A191" s="2" t="s">
        <v>188</v>
      </c>
      <c r="B191" s="86"/>
      <c r="C191" s="86"/>
      <c r="D191" s="86"/>
      <c r="E191" s="86"/>
      <c r="F191" s="86"/>
      <c r="G191" s="49"/>
      <c r="H191" s="49"/>
      <c r="I191" s="49"/>
    </row>
    <row r="192" spans="1:15" hidden="1" x14ac:dyDescent="0.25">
      <c r="A192" s="85" t="s">
        <v>182</v>
      </c>
      <c r="B192" s="86"/>
      <c r="C192" s="86"/>
      <c r="D192" s="86"/>
      <c r="E192" s="86"/>
      <c r="F192" s="86"/>
      <c r="G192" s="49"/>
      <c r="H192" s="49"/>
      <c r="I192" s="49"/>
    </row>
    <row r="193" spans="1:15" hidden="1" x14ac:dyDescent="0.25">
      <c r="A193" s="2" t="s">
        <v>86</v>
      </c>
      <c r="B193" s="86"/>
      <c r="C193" s="86"/>
      <c r="D193" s="86"/>
      <c r="E193" s="86"/>
      <c r="F193" s="86"/>
      <c r="G193" s="49"/>
      <c r="H193" s="49"/>
      <c r="I193" s="49"/>
      <c r="J193" s="49"/>
      <c r="K193" s="48"/>
      <c r="L193" s="48"/>
      <c r="M193" s="48"/>
      <c r="N193" s="48"/>
      <c r="O193" s="48"/>
    </row>
    <row r="194" spans="1:15" hidden="1" x14ac:dyDescent="0.25">
      <c r="A194" s="2" t="s">
        <v>100</v>
      </c>
      <c r="B194" s="86"/>
      <c r="C194" s="86"/>
      <c r="D194" s="86"/>
      <c r="E194" s="86"/>
      <c r="F194" s="86"/>
      <c r="G194" s="49"/>
      <c r="H194" s="49"/>
      <c r="I194" s="49"/>
    </row>
    <row r="195" spans="1:15" hidden="1" x14ac:dyDescent="0.25">
      <c r="A195" s="2" t="s">
        <v>35</v>
      </c>
      <c r="B195" s="86"/>
      <c r="C195" s="86"/>
      <c r="D195" s="86"/>
      <c r="E195" s="86"/>
      <c r="F195" s="86"/>
      <c r="G195" s="49"/>
      <c r="H195" s="49"/>
      <c r="I195" s="49"/>
    </row>
    <row r="196" spans="1:15" hidden="1" x14ac:dyDescent="0.25">
      <c r="A196" s="2" t="s">
        <v>91</v>
      </c>
      <c r="B196" s="86"/>
      <c r="C196" s="86"/>
      <c r="D196" s="86"/>
      <c r="E196" s="86"/>
      <c r="F196" s="86"/>
      <c r="G196" s="49"/>
      <c r="H196" s="49"/>
      <c r="I196" s="49"/>
    </row>
    <row r="197" spans="1:15" hidden="1" x14ac:dyDescent="0.25">
      <c r="A197" s="2" t="s">
        <v>66</v>
      </c>
      <c r="B197" s="86"/>
      <c r="C197" s="86"/>
      <c r="D197" s="86"/>
      <c r="E197" s="86"/>
      <c r="F197" s="86"/>
      <c r="G197" s="49"/>
      <c r="H197" s="49"/>
      <c r="I197" s="49"/>
    </row>
    <row r="198" spans="1:15" hidden="1" x14ac:dyDescent="0.25">
      <c r="A198" s="2" t="s">
        <v>166</v>
      </c>
      <c r="B198" s="86"/>
      <c r="C198" s="86"/>
      <c r="D198" s="86"/>
      <c r="E198" s="86"/>
      <c r="F198" s="86"/>
      <c r="G198" s="49"/>
      <c r="H198" s="49"/>
      <c r="I198" s="49"/>
    </row>
    <row r="199" spans="1:15" hidden="1" x14ac:dyDescent="0.25">
      <c r="A199" s="2" t="s">
        <v>40</v>
      </c>
      <c r="B199" s="86"/>
      <c r="C199" s="86"/>
      <c r="D199" s="86"/>
      <c r="E199" s="2"/>
      <c r="F199" s="2"/>
      <c r="G199" s="49"/>
      <c r="H199" s="49"/>
      <c r="I199" s="49"/>
    </row>
    <row r="200" spans="1:15" hidden="1" x14ac:dyDescent="0.25">
      <c r="A200" s="2" t="s">
        <v>48</v>
      </c>
      <c r="B200" s="86"/>
      <c r="C200" s="86"/>
      <c r="D200" s="86"/>
      <c r="G200" s="49"/>
      <c r="H200" s="49"/>
      <c r="I200" s="49"/>
    </row>
    <row r="201" spans="1:15" hidden="1" x14ac:dyDescent="0.25">
      <c r="A201" s="2" t="s">
        <v>169</v>
      </c>
      <c r="B201" s="86"/>
      <c r="C201" s="86"/>
      <c r="D201" s="86"/>
      <c r="E201" s="86"/>
      <c r="F201" s="86"/>
      <c r="G201" s="49"/>
      <c r="H201" s="49"/>
      <c r="I201" s="49"/>
      <c r="J201" s="49"/>
      <c r="K201" s="48"/>
      <c r="L201" s="48"/>
      <c r="M201" s="48"/>
      <c r="N201" s="48"/>
      <c r="O201" s="48"/>
    </row>
    <row r="202" spans="1:15" hidden="1" x14ac:dyDescent="0.25">
      <c r="A202" s="2" t="s">
        <v>170</v>
      </c>
      <c r="B202" s="86"/>
      <c r="C202" s="86"/>
      <c r="D202" s="86"/>
      <c r="E202" s="86"/>
      <c r="F202" s="86"/>
      <c r="G202" s="49"/>
      <c r="H202" s="49"/>
      <c r="I202" s="49"/>
      <c r="J202" s="49"/>
      <c r="K202" s="48"/>
      <c r="L202" s="48"/>
      <c r="M202" s="48"/>
      <c r="N202" s="48"/>
      <c r="O202" s="48"/>
    </row>
    <row r="203" spans="1:15" hidden="1" x14ac:dyDescent="0.25">
      <c r="A203" s="2" t="s">
        <v>171</v>
      </c>
      <c r="B203" s="86"/>
      <c r="C203" s="86"/>
      <c r="D203" s="86"/>
      <c r="E203" s="86"/>
      <c r="F203" s="86"/>
      <c r="G203" s="49"/>
      <c r="H203" s="49"/>
      <c r="I203" s="49"/>
      <c r="J203" s="49"/>
      <c r="K203" s="48"/>
      <c r="L203" s="48"/>
      <c r="M203" s="48"/>
      <c r="N203" s="48"/>
      <c r="O203" s="48"/>
    </row>
    <row r="204" spans="1:15" hidden="1" x14ac:dyDescent="0.25">
      <c r="A204" s="2" t="s">
        <v>45</v>
      </c>
      <c r="B204" s="86"/>
      <c r="C204" s="86"/>
      <c r="D204" s="86"/>
      <c r="E204" s="86"/>
      <c r="F204" s="86"/>
      <c r="G204" s="49"/>
      <c r="H204" s="49"/>
      <c r="I204" s="49"/>
      <c r="J204" s="49"/>
      <c r="K204" s="48"/>
      <c r="L204" s="48"/>
      <c r="M204" s="48"/>
      <c r="N204" s="48"/>
      <c r="O204" s="48"/>
    </row>
    <row r="205" spans="1:15" hidden="1" x14ac:dyDescent="0.25">
      <c r="A205" s="2" t="s">
        <v>56</v>
      </c>
      <c r="B205" s="86"/>
      <c r="C205" s="86"/>
      <c r="D205" s="86"/>
      <c r="E205" s="86"/>
      <c r="F205" s="86"/>
      <c r="G205" s="49"/>
      <c r="H205" s="49"/>
      <c r="I205" s="49"/>
      <c r="J205" s="49"/>
      <c r="K205" s="48"/>
      <c r="L205" s="48"/>
      <c r="M205" s="48"/>
      <c r="N205" s="48"/>
      <c r="O205" s="48"/>
    </row>
    <row r="206" spans="1:15" hidden="1" x14ac:dyDescent="0.25">
      <c r="A206" s="2" t="s">
        <v>53</v>
      </c>
      <c r="B206" s="86"/>
      <c r="C206" s="86"/>
      <c r="D206" s="86"/>
      <c r="E206" s="86"/>
      <c r="F206" s="86"/>
      <c r="G206" s="64"/>
      <c r="H206" s="64"/>
      <c r="I206" s="64"/>
      <c r="J206" s="49"/>
      <c r="K206" s="48"/>
      <c r="L206" s="48"/>
      <c r="M206" s="48"/>
      <c r="N206" s="48"/>
      <c r="O206" s="48"/>
    </row>
    <row r="207" spans="1:15" hidden="1" x14ac:dyDescent="0.25">
      <c r="A207" s="2" t="s">
        <v>79</v>
      </c>
      <c r="B207" s="86"/>
      <c r="C207" s="86"/>
      <c r="D207" s="86"/>
      <c r="E207" s="86"/>
      <c r="F207" s="86"/>
      <c r="G207" s="49"/>
      <c r="H207" s="49"/>
      <c r="I207" s="49"/>
      <c r="J207" s="49"/>
      <c r="K207" s="48"/>
      <c r="L207" s="48"/>
      <c r="M207" s="48"/>
      <c r="N207" s="48"/>
      <c r="O207" s="48"/>
    </row>
    <row r="208" spans="1:15" s="1" customFormat="1" hidden="1" x14ac:dyDescent="0.25">
      <c r="A208" s="2" t="s">
        <v>110</v>
      </c>
      <c r="B208" s="86"/>
      <c r="C208" s="86"/>
      <c r="D208" s="86"/>
      <c r="E208" s="86"/>
      <c r="F208" s="86"/>
      <c r="G208" s="49"/>
      <c r="H208" s="49"/>
      <c r="I208" s="49"/>
      <c r="J208" s="49"/>
      <c r="K208" s="48"/>
      <c r="L208" s="48"/>
      <c r="M208" s="48"/>
      <c r="N208" s="48"/>
      <c r="O208" s="48"/>
    </row>
    <row r="209" spans="1:15" hidden="1" x14ac:dyDescent="0.25">
      <c r="A209" s="2" t="s">
        <v>85</v>
      </c>
      <c r="B209" s="86"/>
      <c r="C209" s="86"/>
      <c r="D209" s="86"/>
      <c r="E209" s="86"/>
      <c r="F209" s="86"/>
      <c r="G209" s="49"/>
      <c r="H209" s="49"/>
      <c r="I209" s="49"/>
      <c r="J209" s="49"/>
      <c r="K209" s="48"/>
      <c r="L209" s="48"/>
      <c r="M209" s="48"/>
      <c r="N209" s="48"/>
      <c r="O209" s="48"/>
    </row>
    <row r="210" spans="1:15" hidden="1" x14ac:dyDescent="0.25">
      <c r="A210" s="10" t="s">
        <v>14</v>
      </c>
      <c r="B210" s="86"/>
      <c r="C210" s="86"/>
      <c r="D210" s="86"/>
      <c r="E210" s="86"/>
      <c r="F210" s="86"/>
      <c r="G210" s="49"/>
      <c r="H210" s="49"/>
      <c r="I210" s="49"/>
    </row>
    <row r="211" spans="1:15" hidden="1" x14ac:dyDescent="0.25">
      <c r="A211" s="2" t="s">
        <v>38</v>
      </c>
      <c r="B211" s="86"/>
      <c r="C211" s="86"/>
      <c r="D211" s="86"/>
      <c r="E211" s="86"/>
      <c r="F211" s="86"/>
      <c r="G211" s="49"/>
      <c r="H211" s="49"/>
      <c r="I211" s="49"/>
    </row>
    <row r="212" spans="1:15" hidden="1" x14ac:dyDescent="0.25">
      <c r="A212" s="2" t="s">
        <v>63</v>
      </c>
      <c r="B212" s="86"/>
      <c r="C212" s="86"/>
      <c r="D212" s="86"/>
      <c r="E212" s="86"/>
      <c r="F212" s="86"/>
      <c r="G212" s="49"/>
      <c r="H212" s="49"/>
      <c r="I212" s="49"/>
    </row>
    <row r="213" spans="1:15" hidden="1" x14ac:dyDescent="0.25">
      <c r="A213" s="2" t="s">
        <v>77</v>
      </c>
      <c r="B213" s="86"/>
      <c r="C213" s="86"/>
      <c r="D213" s="86"/>
      <c r="E213" s="86"/>
      <c r="F213" s="86"/>
      <c r="G213" s="49"/>
      <c r="H213" s="49"/>
      <c r="I213" s="49"/>
    </row>
    <row r="214" spans="1:15" hidden="1" x14ac:dyDescent="0.25">
      <c r="A214" s="10" t="s">
        <v>102</v>
      </c>
      <c r="B214" s="86"/>
      <c r="C214" s="86"/>
      <c r="D214" s="86"/>
      <c r="E214" s="86"/>
      <c r="F214" s="86"/>
      <c r="G214" s="49"/>
      <c r="H214" s="49"/>
      <c r="I214" s="49"/>
    </row>
    <row r="215" spans="1:15" hidden="1" x14ac:dyDescent="0.25">
      <c r="A215" s="2" t="s">
        <v>101</v>
      </c>
      <c r="B215" s="86"/>
      <c r="C215" s="86"/>
      <c r="D215" s="86"/>
      <c r="E215" s="86"/>
      <c r="F215" s="86"/>
      <c r="G215" s="49"/>
      <c r="H215" s="49"/>
      <c r="I215" s="49"/>
    </row>
    <row r="216" spans="1:15" hidden="1" x14ac:dyDescent="0.25">
      <c r="A216" s="10" t="s">
        <v>11</v>
      </c>
      <c r="B216" s="86"/>
      <c r="C216" s="86"/>
      <c r="D216" s="86"/>
      <c r="E216" s="86"/>
      <c r="F216" s="86"/>
      <c r="G216" s="49"/>
      <c r="H216" s="49"/>
      <c r="I216" s="49"/>
    </row>
    <row r="217" spans="1:15" hidden="1" x14ac:dyDescent="0.25">
      <c r="A217" s="10" t="s">
        <v>95</v>
      </c>
      <c r="B217" s="86"/>
      <c r="C217" s="86"/>
      <c r="D217" s="86"/>
      <c r="E217" s="86"/>
      <c r="F217" s="86"/>
      <c r="G217" s="49"/>
      <c r="H217" s="49"/>
      <c r="I217" s="49"/>
    </row>
    <row r="218" spans="1:15" hidden="1" x14ac:dyDescent="0.25">
      <c r="A218" s="2" t="s">
        <v>92</v>
      </c>
      <c r="B218" s="86"/>
      <c r="C218" s="86"/>
      <c r="D218" s="86"/>
      <c r="E218" s="86"/>
      <c r="F218" s="86"/>
      <c r="G218" s="49"/>
      <c r="H218" s="49"/>
      <c r="I218" s="49"/>
    </row>
    <row r="219" spans="1:15" hidden="1" x14ac:dyDescent="0.25">
      <c r="A219" s="2" t="s">
        <v>89</v>
      </c>
      <c r="B219" s="86"/>
      <c r="C219" s="86"/>
      <c r="D219" s="86"/>
      <c r="E219" s="86"/>
      <c r="F219" s="86"/>
      <c r="G219" s="49"/>
      <c r="H219" s="49"/>
      <c r="I219" s="49"/>
    </row>
    <row r="220" spans="1:15" hidden="1" x14ac:dyDescent="0.25">
      <c r="A220" s="2" t="s">
        <v>90</v>
      </c>
      <c r="B220" s="86"/>
      <c r="C220" s="86"/>
      <c r="D220" s="86"/>
      <c r="E220" s="86"/>
      <c r="F220" s="86"/>
      <c r="G220" s="49"/>
      <c r="H220" s="49"/>
      <c r="I220" s="49"/>
    </row>
    <row r="221" spans="1:15" hidden="1" x14ac:dyDescent="0.25">
      <c r="A221" s="2" t="s">
        <v>87</v>
      </c>
      <c r="B221" s="86"/>
      <c r="C221" s="86"/>
      <c r="D221" s="86"/>
      <c r="E221" s="86"/>
      <c r="F221" s="86"/>
      <c r="G221" s="49"/>
      <c r="H221" s="49"/>
      <c r="I221" s="49"/>
    </row>
    <row r="222" spans="1:15" hidden="1" x14ac:dyDescent="0.25">
      <c r="A222" s="2" t="s">
        <v>82</v>
      </c>
      <c r="B222" s="86"/>
      <c r="C222" s="86"/>
      <c r="D222" s="86"/>
      <c r="E222" s="86"/>
      <c r="F222" s="86"/>
      <c r="G222" s="49"/>
      <c r="H222" s="49"/>
      <c r="I222" s="49"/>
    </row>
    <row r="223" spans="1:15" hidden="1" x14ac:dyDescent="0.25">
      <c r="A223" s="2" t="s">
        <v>83</v>
      </c>
      <c r="B223" s="86"/>
      <c r="C223" s="86"/>
      <c r="D223" s="86"/>
      <c r="E223" s="86"/>
      <c r="F223" s="86"/>
      <c r="G223" s="49"/>
      <c r="H223" s="49"/>
      <c r="I223" s="49"/>
    </row>
    <row r="224" spans="1:15" hidden="1" x14ac:dyDescent="0.25">
      <c r="A224" s="2" t="s">
        <v>46</v>
      </c>
      <c r="B224" s="86"/>
      <c r="C224" s="86"/>
      <c r="D224" s="86"/>
      <c r="E224" s="86"/>
      <c r="F224" s="86"/>
      <c r="G224" s="49"/>
      <c r="H224" s="49"/>
      <c r="I224" s="49"/>
    </row>
    <row r="225" spans="1:9" hidden="1" x14ac:dyDescent="0.25">
      <c r="A225" s="2" t="s">
        <v>58</v>
      </c>
      <c r="B225" s="86"/>
      <c r="C225" s="86"/>
      <c r="D225" s="86"/>
      <c r="E225" s="86"/>
      <c r="F225" s="86"/>
      <c r="G225" s="49"/>
      <c r="H225" s="49"/>
      <c r="I225" s="49"/>
    </row>
    <row r="226" spans="1:9" hidden="1" x14ac:dyDescent="0.25">
      <c r="A226" s="2" t="s">
        <v>78</v>
      </c>
      <c r="B226" s="86"/>
      <c r="C226" s="86"/>
      <c r="D226" s="86"/>
      <c r="E226" s="86"/>
      <c r="F226" s="86"/>
      <c r="G226" s="49"/>
      <c r="H226" s="49"/>
      <c r="I226" s="49"/>
    </row>
    <row r="227" spans="1:9" hidden="1" x14ac:dyDescent="0.25">
      <c r="A227" s="2" t="s">
        <v>37</v>
      </c>
      <c r="B227" s="86"/>
      <c r="C227" s="86"/>
      <c r="D227" s="86"/>
      <c r="E227" s="86"/>
      <c r="F227" s="86"/>
      <c r="G227" s="49"/>
      <c r="H227" s="49"/>
      <c r="I227" s="49"/>
    </row>
    <row r="228" spans="1:9" hidden="1" x14ac:dyDescent="0.25">
      <c r="A228" s="2" t="s">
        <v>75</v>
      </c>
      <c r="B228" s="86"/>
      <c r="C228" s="86"/>
      <c r="D228" s="86"/>
      <c r="E228" s="86"/>
      <c r="F228" s="86"/>
      <c r="G228" s="49"/>
      <c r="H228" s="49"/>
      <c r="I228" s="49"/>
    </row>
    <row r="229" spans="1:9" hidden="1" x14ac:dyDescent="0.25">
      <c r="A229" s="2" t="s">
        <v>18</v>
      </c>
      <c r="B229" s="86"/>
      <c r="C229" s="86"/>
      <c r="D229" s="86"/>
      <c r="E229" s="86"/>
      <c r="F229" s="86"/>
      <c r="G229" s="49"/>
      <c r="H229" s="49"/>
      <c r="I229" s="49"/>
    </row>
    <row r="230" spans="1:9" hidden="1" x14ac:dyDescent="0.25">
      <c r="A230" s="2" t="s">
        <v>51</v>
      </c>
      <c r="B230" s="86"/>
      <c r="C230" s="86"/>
      <c r="D230" s="86"/>
      <c r="E230" s="86"/>
      <c r="F230" s="86"/>
      <c r="G230" s="49"/>
      <c r="H230" s="49"/>
      <c r="I230" s="49"/>
    </row>
    <row r="231" spans="1:9" hidden="1" x14ac:dyDescent="0.25">
      <c r="A231" s="2" t="s">
        <v>72</v>
      </c>
      <c r="B231" s="86"/>
      <c r="C231" s="86"/>
      <c r="D231" s="86"/>
      <c r="E231" s="86"/>
      <c r="F231" s="86"/>
      <c r="G231" s="49"/>
      <c r="H231" s="49"/>
      <c r="I231" s="49"/>
    </row>
    <row r="232" spans="1:9" hidden="1" x14ac:dyDescent="0.25">
      <c r="A232" s="2" t="s">
        <v>69</v>
      </c>
      <c r="B232" s="86"/>
      <c r="C232" s="86"/>
      <c r="D232" s="86"/>
      <c r="E232" s="86"/>
      <c r="F232" s="86"/>
      <c r="G232" s="49"/>
      <c r="H232" s="49"/>
      <c r="I232" s="49"/>
    </row>
    <row r="233" spans="1:9" hidden="1" x14ac:dyDescent="0.25">
      <c r="A233" s="2" t="s">
        <v>67</v>
      </c>
      <c r="B233" s="86"/>
      <c r="C233" s="86"/>
      <c r="D233" s="86"/>
      <c r="E233" s="86"/>
      <c r="F233" s="86"/>
      <c r="G233" s="49"/>
      <c r="H233" s="49"/>
      <c r="I233" s="49"/>
    </row>
    <row r="234" spans="1:9" hidden="1" x14ac:dyDescent="0.25">
      <c r="A234" s="2" t="s">
        <v>70</v>
      </c>
      <c r="B234" s="86"/>
      <c r="C234" s="86"/>
      <c r="D234" s="86"/>
      <c r="E234" s="86"/>
      <c r="F234" s="86"/>
      <c r="G234" s="49"/>
      <c r="H234" s="49"/>
      <c r="I234" s="49"/>
    </row>
    <row r="235" spans="1:9" hidden="1" x14ac:dyDescent="0.25">
      <c r="A235" s="10" t="s">
        <v>65</v>
      </c>
      <c r="B235" s="86"/>
      <c r="C235" s="86"/>
      <c r="D235" s="86"/>
      <c r="E235" s="86"/>
      <c r="F235" s="86"/>
      <c r="G235" s="49"/>
      <c r="H235" s="49"/>
      <c r="I235" s="49"/>
    </row>
    <row r="236" spans="1:9" hidden="1" x14ac:dyDescent="0.25">
      <c r="A236" s="2" t="s">
        <v>47</v>
      </c>
      <c r="B236" s="86"/>
      <c r="C236" s="86"/>
      <c r="D236" s="86"/>
      <c r="E236" s="86"/>
      <c r="F236" s="86"/>
      <c r="G236" s="49"/>
      <c r="H236" s="49"/>
      <c r="I236" s="49"/>
    </row>
    <row r="237" spans="1:9" hidden="1" x14ac:dyDescent="0.25">
      <c r="A237" s="2" t="s">
        <v>64</v>
      </c>
      <c r="B237" s="86"/>
      <c r="C237" s="86"/>
      <c r="D237" s="86"/>
      <c r="E237" s="86"/>
      <c r="F237" s="86"/>
      <c r="G237" s="49"/>
      <c r="H237" s="49"/>
      <c r="I237" s="49"/>
    </row>
    <row r="238" spans="1:9" hidden="1" x14ac:dyDescent="0.25">
      <c r="A238" s="9" t="s">
        <v>27</v>
      </c>
      <c r="B238" s="86"/>
      <c r="C238" s="86"/>
      <c r="D238" s="86"/>
      <c r="E238" s="86"/>
      <c r="F238" s="86"/>
      <c r="G238" s="49"/>
      <c r="H238" s="49"/>
      <c r="I238" s="49"/>
    </row>
    <row r="239" spans="1:9" hidden="1" x14ac:dyDescent="0.25">
      <c r="A239" s="2" t="s">
        <v>19</v>
      </c>
      <c r="B239" s="86"/>
      <c r="C239" s="86"/>
      <c r="D239" s="86"/>
      <c r="E239" s="86"/>
      <c r="F239" s="86"/>
      <c r="G239" s="49"/>
      <c r="H239" s="49"/>
      <c r="I239" s="49"/>
    </row>
    <row r="240" spans="1:9" hidden="1" x14ac:dyDescent="0.25">
      <c r="A240" s="2" t="s">
        <v>31</v>
      </c>
      <c r="B240" s="86"/>
      <c r="C240" s="86"/>
      <c r="D240" s="86"/>
      <c r="E240" s="86"/>
      <c r="F240" s="86"/>
      <c r="G240" s="49"/>
      <c r="H240" s="49"/>
      <c r="I240" s="49"/>
    </row>
    <row r="241" spans="1:15" hidden="1" x14ac:dyDescent="0.25">
      <c r="A241" s="2" t="s">
        <v>44</v>
      </c>
      <c r="B241" s="86"/>
      <c r="C241" s="86"/>
      <c r="D241" s="86"/>
      <c r="E241" s="86"/>
      <c r="F241" s="86"/>
      <c r="G241" s="49"/>
      <c r="H241" s="49"/>
      <c r="I241" s="49"/>
    </row>
    <row r="242" spans="1:15" hidden="1" x14ac:dyDescent="0.25">
      <c r="A242" s="2" t="s">
        <v>49</v>
      </c>
      <c r="B242" s="86"/>
      <c r="C242" s="86"/>
      <c r="D242" s="86"/>
      <c r="E242" s="86"/>
      <c r="F242" s="86"/>
      <c r="G242" s="49"/>
      <c r="H242" s="49"/>
      <c r="I242" s="49"/>
    </row>
    <row r="243" spans="1:15" hidden="1" x14ac:dyDescent="0.25">
      <c r="A243" s="2" t="s">
        <v>50</v>
      </c>
      <c r="B243" s="86"/>
      <c r="C243" s="86"/>
      <c r="D243" s="86"/>
      <c r="E243" s="86"/>
      <c r="F243" s="86"/>
      <c r="G243" s="49"/>
      <c r="H243" s="49"/>
      <c r="I243" s="49"/>
    </row>
    <row r="244" spans="1:15" hidden="1" x14ac:dyDescent="0.25">
      <c r="A244" s="2" t="s">
        <v>55</v>
      </c>
      <c r="B244" s="86"/>
      <c r="C244" s="86"/>
      <c r="D244" s="86"/>
      <c r="E244" s="86"/>
      <c r="F244" s="86"/>
      <c r="G244" s="49"/>
      <c r="H244" s="49"/>
      <c r="I244" s="49"/>
    </row>
    <row r="245" spans="1:15" hidden="1" x14ac:dyDescent="0.25">
      <c r="A245" s="2" t="s">
        <v>57</v>
      </c>
      <c r="B245" s="86"/>
      <c r="C245" s="86"/>
      <c r="D245" s="86"/>
      <c r="E245" s="86"/>
      <c r="F245" s="86"/>
      <c r="G245" s="49"/>
      <c r="H245" s="49"/>
      <c r="I245" s="49"/>
    </row>
    <row r="246" spans="1:15" hidden="1" x14ac:dyDescent="0.25">
      <c r="A246" s="2" t="s">
        <v>60</v>
      </c>
      <c r="B246" s="86"/>
      <c r="C246" s="86"/>
      <c r="D246" s="86"/>
      <c r="E246" s="86"/>
      <c r="F246" s="86"/>
      <c r="G246" s="49"/>
      <c r="H246" s="49"/>
      <c r="I246" s="49"/>
    </row>
    <row r="247" spans="1:15" hidden="1" x14ac:dyDescent="0.25">
      <c r="A247" s="2"/>
      <c r="B247" s="86"/>
      <c r="C247" s="86"/>
      <c r="D247" s="86"/>
      <c r="E247" s="86"/>
      <c r="F247" s="86"/>
      <c r="G247" s="49"/>
      <c r="H247" s="49"/>
      <c r="I247" s="49"/>
    </row>
    <row r="248" spans="1:15" hidden="1" x14ac:dyDescent="0.25">
      <c r="A248" s="2" t="s">
        <v>61</v>
      </c>
      <c r="B248" s="86"/>
      <c r="C248" s="86"/>
      <c r="D248" s="86"/>
      <c r="E248" s="86"/>
      <c r="F248" s="86"/>
      <c r="G248" s="49"/>
      <c r="H248" s="49"/>
      <c r="I248" s="49"/>
    </row>
    <row r="249" spans="1:15" x14ac:dyDescent="0.25">
      <c r="A249" s="2"/>
      <c r="B249" s="14"/>
      <c r="C249" s="14"/>
      <c r="D249" s="14"/>
      <c r="E249" s="14"/>
      <c r="F249" s="14"/>
      <c r="G249" s="63"/>
      <c r="H249" s="63"/>
      <c r="I249" s="63"/>
    </row>
    <row r="250" spans="1:15" ht="15.75" thickBot="1" x14ac:dyDescent="0.3">
      <c r="A250" s="7" t="s">
        <v>16</v>
      </c>
      <c r="B250" s="8">
        <f>SUM(B140:B249)</f>
        <v>0</v>
      </c>
      <c r="C250" s="8">
        <f>SUM(C140:C249)</f>
        <v>331.37286000000006</v>
      </c>
      <c r="D250" s="8">
        <f>SUM(D140:D249)</f>
        <v>373.59151000000003</v>
      </c>
      <c r="E250" s="8">
        <f>SUM(E140:E249)</f>
        <v>734.61504500000001</v>
      </c>
      <c r="F250" s="8">
        <f>SUM(F140:F249)</f>
        <v>342.14233999999999</v>
      </c>
      <c r="G250" s="49"/>
      <c r="H250" s="49"/>
      <c r="I250" s="49"/>
    </row>
    <row r="251" spans="1:15" ht="15.75" thickBot="1" x14ac:dyDescent="0.3">
      <c r="A251" s="2"/>
      <c r="B251" s="2"/>
      <c r="C251" s="2"/>
      <c r="D251" s="2"/>
      <c r="E251" s="2"/>
      <c r="F251" s="2"/>
      <c r="G251" s="1"/>
      <c r="J251" s="21" t="s">
        <v>116</v>
      </c>
      <c r="K251" s="23" t="s">
        <v>115</v>
      </c>
      <c r="L251" s="23">
        <v>2016</v>
      </c>
      <c r="M251" s="22">
        <v>2017</v>
      </c>
      <c r="N251" s="28" t="s">
        <v>154</v>
      </c>
      <c r="O251" s="29" t="s">
        <v>153</v>
      </c>
    </row>
    <row r="252" spans="1:15" x14ac:dyDescent="0.25">
      <c r="A252" s="11" t="s">
        <v>200</v>
      </c>
      <c r="B252" s="12">
        <f>B121+B138-B250</f>
        <v>401.90485000000001</v>
      </c>
      <c r="C252" s="12">
        <f>C121+C138-C250</f>
        <v>272.53198999999995</v>
      </c>
      <c r="D252" s="12">
        <f>D121+D138-D250</f>
        <v>303.7924799999999</v>
      </c>
      <c r="E252" s="12">
        <f>E121+E138-E250</f>
        <v>545.68943499999978</v>
      </c>
      <c r="F252" s="12">
        <f>F121+F138-F250</f>
        <v>821.53309499999966</v>
      </c>
      <c r="J252" s="19" t="s">
        <v>113</v>
      </c>
      <c r="K252" s="24"/>
      <c r="L252" s="24">
        <f>E174+F174</f>
        <v>0</v>
      </c>
      <c r="M252" s="25">
        <f>SUM(B140:F173)+D174+SUM(B175:F189)</f>
        <v>1498.6107550000002</v>
      </c>
      <c r="N252" s="24"/>
      <c r="O252" s="24"/>
    </row>
    <row r="253" spans="1:15" ht="15.75" thickBot="1" x14ac:dyDescent="0.3">
      <c r="A253" s="4" t="s">
        <v>201</v>
      </c>
      <c r="B253" s="5">
        <f>B252/0.0042</f>
        <v>95691.630952380961</v>
      </c>
      <c r="C253" s="5">
        <f>C252/0.0042</f>
        <v>64888.569047619043</v>
      </c>
      <c r="D253" s="5">
        <f>D252/0.0042</f>
        <v>72331.542857142835</v>
      </c>
      <c r="E253" s="5">
        <f>E252/0.0042</f>
        <v>129926.05595238091</v>
      </c>
      <c r="F253" s="5">
        <f>F252/0.0042</f>
        <v>195603.11785714279</v>
      </c>
      <c r="J253" s="20" t="s">
        <v>114</v>
      </c>
      <c r="K253" s="26">
        <f>K252/4</f>
        <v>0</v>
      </c>
      <c r="L253" s="26">
        <f>L252/4</f>
        <v>0</v>
      </c>
      <c r="M253" s="27">
        <f>M252/4</f>
        <v>374.65268875000004</v>
      </c>
      <c r="N253" s="26">
        <f>SUM(K253:M253)</f>
        <v>374.65268875000004</v>
      </c>
      <c r="O253" s="26">
        <f>SUM(L253:M253)</f>
        <v>374.65268875000004</v>
      </c>
    </row>
    <row r="255" spans="1:15" x14ac:dyDescent="0.25">
      <c r="C255" s="92"/>
      <c r="E255" s="92"/>
      <c r="F255" s="92"/>
    </row>
    <row r="256" spans="1:15" x14ac:dyDescent="0.25">
      <c r="F256" s="92"/>
    </row>
  </sheetData>
  <mergeCells count="1">
    <mergeCell ref="B6:D6"/>
  </mergeCells>
  <pageMargins left="0.35433070866141736" right="0.27559055118110237" top="0.74803149606299213" bottom="0.74803149606299213" header="0.31496062992125984" footer="0.31496062992125984"/>
  <pageSetup paperSize="9" scale="67" orientation="portrait" horizontalDpi="4294967293" verticalDpi="4294967293" r:id="rId1"/>
  <rowBreaks count="1" manualBreakCount="1">
    <brk id="117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60"/>
  <sheetViews>
    <sheetView workbookViewId="0">
      <pane xSplit="1" ySplit="3" topLeftCell="C90" activePane="bottomRight" state="frozen"/>
      <selection pane="topRight" activeCell="B1" sqref="B1"/>
      <selection pane="bottomLeft" activeCell="A4" sqref="A4"/>
      <selection pane="bottomRight" activeCell="A181" sqref="A181"/>
    </sheetView>
  </sheetViews>
  <sheetFormatPr defaultRowHeight="15" outlineLevelRow="1" x14ac:dyDescent="0.25"/>
  <cols>
    <col min="1" max="1" width="38.28515625" customWidth="1"/>
    <col min="2" max="2" width="38.28515625" hidden="1" customWidth="1"/>
    <col min="3" max="3" width="38.28515625" customWidth="1"/>
    <col min="4" max="4" width="14" bestFit="1" customWidth="1"/>
    <col min="5" max="5" width="9.7109375" customWidth="1"/>
    <col min="6" max="6" width="10.5703125" customWidth="1"/>
    <col min="7" max="7" width="4" bestFit="1" customWidth="1"/>
    <col min="9" max="9" width="10.140625" customWidth="1"/>
    <col min="11" max="11" width="22.7109375" bestFit="1" customWidth="1"/>
    <col min="12" max="12" width="10.85546875" customWidth="1"/>
    <col min="13" max="13" width="14" bestFit="1" customWidth="1"/>
    <col min="14" max="14" width="19" bestFit="1" customWidth="1"/>
    <col min="15" max="15" width="20.42578125" bestFit="1" customWidth="1"/>
  </cols>
  <sheetData>
    <row r="1" spans="1:16" x14ac:dyDescent="0.25">
      <c r="J1" s="48"/>
      <c r="K1" s="48"/>
      <c r="L1" s="48"/>
      <c r="M1" s="48"/>
      <c r="N1" s="48"/>
      <c r="O1" s="48"/>
    </row>
    <row r="2" spans="1:16" x14ac:dyDescent="0.25">
      <c r="J2" s="48"/>
      <c r="K2" s="48"/>
      <c r="L2" s="48"/>
      <c r="M2" s="48"/>
      <c r="N2" s="48"/>
      <c r="O2" s="48"/>
    </row>
    <row r="3" spans="1:16" s="1" customFormat="1" x14ac:dyDescent="0.25">
      <c r="J3" s="49"/>
      <c r="K3" s="49"/>
      <c r="L3" s="49"/>
      <c r="M3" s="49"/>
      <c r="N3" s="49"/>
      <c r="O3" s="49"/>
    </row>
    <row r="4" spans="1:16" s="1" customFormat="1" hidden="1" x14ac:dyDescent="0.25">
      <c r="A4" s="46" t="s">
        <v>139</v>
      </c>
      <c r="B4" s="46"/>
      <c r="C4" s="47">
        <v>4.2</v>
      </c>
      <c r="D4" s="49"/>
      <c r="E4" s="49"/>
      <c r="J4" s="49"/>
      <c r="O4" s="49"/>
    </row>
    <row r="5" spans="1:16" hidden="1" x14ac:dyDescent="0.25">
      <c r="A5" s="48"/>
      <c r="B5" s="48"/>
      <c r="C5" s="48"/>
      <c r="D5" s="48"/>
      <c r="E5" s="48"/>
      <c r="J5" s="49"/>
      <c r="O5" s="48"/>
      <c r="P5" s="48"/>
    </row>
    <row r="6" spans="1:16" ht="15.75" hidden="1" x14ac:dyDescent="0.25">
      <c r="A6" s="30" t="s">
        <v>118</v>
      </c>
      <c r="B6" s="30"/>
      <c r="C6" s="150" t="s">
        <v>213</v>
      </c>
      <c r="D6" s="150"/>
      <c r="E6" s="150"/>
      <c r="J6" s="49"/>
      <c r="O6" s="48"/>
    </row>
    <row r="7" spans="1:16" ht="16.5" hidden="1" thickBot="1" x14ac:dyDescent="0.3">
      <c r="A7" s="30" t="s">
        <v>144</v>
      </c>
      <c r="B7" s="30"/>
      <c r="C7" s="50" t="s">
        <v>140</v>
      </c>
      <c r="D7" s="50" t="s">
        <v>141</v>
      </c>
      <c r="E7" s="51" t="s">
        <v>142</v>
      </c>
      <c r="H7" s="97"/>
      <c r="I7" s="97"/>
      <c r="J7" s="49"/>
      <c r="O7" s="48"/>
    </row>
    <row r="8" spans="1:16" hidden="1" x14ac:dyDescent="0.25">
      <c r="A8" s="31" t="s">
        <v>119</v>
      </c>
      <c r="B8" s="34"/>
      <c r="C8" s="38"/>
      <c r="D8" s="48"/>
      <c r="E8" s="48"/>
      <c r="J8" s="49"/>
      <c r="O8" s="48"/>
    </row>
    <row r="9" spans="1:16" hidden="1" x14ac:dyDescent="0.25">
      <c r="A9" s="32" t="s">
        <v>120</v>
      </c>
      <c r="B9" s="113"/>
      <c r="C9" s="39">
        <f>84.5*C4</f>
        <v>354.90000000000003</v>
      </c>
      <c r="D9" s="39" t="e">
        <f>D10+D11+D12</f>
        <v>#REF!</v>
      </c>
      <c r="E9" s="39" t="e">
        <f>D9-C9</f>
        <v>#REF!</v>
      </c>
      <c r="H9" s="95"/>
      <c r="I9" s="95"/>
      <c r="J9" s="98"/>
      <c r="O9" s="48"/>
    </row>
    <row r="10" spans="1:16" hidden="1" x14ac:dyDescent="0.25">
      <c r="A10" s="79" t="s">
        <v>2</v>
      </c>
      <c r="B10" s="114"/>
      <c r="C10" s="80"/>
      <c r="D10" s="80">
        <f>C123+D123</f>
        <v>33</v>
      </c>
      <c r="E10" s="80"/>
      <c r="J10" s="98"/>
      <c r="O10" s="48"/>
    </row>
    <row r="11" spans="1:16" hidden="1" x14ac:dyDescent="0.25">
      <c r="A11" s="79" t="s">
        <v>74</v>
      </c>
      <c r="B11" s="114"/>
      <c r="C11" s="80"/>
      <c r="D11" s="80" t="e">
        <f>#REF!</f>
        <v>#REF!</v>
      </c>
      <c r="E11" s="80"/>
      <c r="J11" s="98"/>
      <c r="O11" s="48"/>
    </row>
    <row r="12" spans="1:16" hidden="1" x14ac:dyDescent="0.25">
      <c r="A12" s="79" t="s">
        <v>214</v>
      </c>
      <c r="B12" s="114"/>
      <c r="C12" s="80"/>
      <c r="D12" s="80">
        <f>SUM(C133:F133)</f>
        <v>790.24770000000001</v>
      </c>
      <c r="E12" s="80"/>
      <c r="J12" s="98"/>
      <c r="O12" s="48"/>
    </row>
    <row r="13" spans="1:16" hidden="1" x14ac:dyDescent="0.25">
      <c r="A13" s="33"/>
      <c r="B13" s="34"/>
      <c r="C13" s="40"/>
      <c r="D13" s="40"/>
      <c r="E13" s="40"/>
      <c r="J13" s="98"/>
      <c r="O13" s="48"/>
    </row>
    <row r="14" spans="1:16" hidden="1" x14ac:dyDescent="0.25">
      <c r="A14" s="33" t="s">
        <v>121</v>
      </c>
      <c r="B14" s="34"/>
      <c r="C14" s="40">
        <v>0</v>
      </c>
      <c r="D14" s="40">
        <f>SUM(D15:D17)</f>
        <v>66.281490000000005</v>
      </c>
      <c r="E14" s="40">
        <f>D14-C14</f>
        <v>66.281490000000005</v>
      </c>
      <c r="H14" s="95"/>
      <c r="I14" s="95"/>
      <c r="J14" s="98"/>
      <c r="O14" s="48"/>
    </row>
    <row r="15" spans="1:16" outlineLevel="1" x14ac:dyDescent="0.25">
      <c r="A15" s="81" t="s">
        <v>8</v>
      </c>
      <c r="B15" s="115"/>
      <c r="C15" s="40"/>
      <c r="D15" s="82">
        <f>-E194-F194</f>
        <v>0</v>
      </c>
      <c r="E15" s="40"/>
      <c r="J15" s="98"/>
      <c r="O15" s="48"/>
    </row>
    <row r="16" spans="1:16" outlineLevel="1" x14ac:dyDescent="0.25">
      <c r="A16" s="81" t="s">
        <v>22</v>
      </c>
      <c r="B16" s="115"/>
      <c r="C16" s="40"/>
      <c r="D16" s="82">
        <f>C141</f>
        <v>66.281490000000005</v>
      </c>
      <c r="E16" s="40"/>
      <c r="J16" s="98"/>
      <c r="O16" s="48"/>
    </row>
    <row r="17" spans="1:15" outlineLevel="1" x14ac:dyDescent="0.25">
      <c r="A17" s="81" t="s">
        <v>79</v>
      </c>
      <c r="B17" s="115"/>
      <c r="C17" s="40"/>
      <c r="D17" s="82"/>
      <c r="E17" s="40"/>
      <c r="J17" s="98"/>
      <c r="O17" s="48"/>
    </row>
    <row r="18" spans="1:15" hidden="1" x14ac:dyDescent="0.25">
      <c r="A18" s="33"/>
      <c r="B18" s="34"/>
      <c r="C18" s="40"/>
      <c r="D18" s="40"/>
      <c r="E18" s="40"/>
      <c r="J18" s="98"/>
      <c r="O18" s="48"/>
    </row>
    <row r="19" spans="1:15" hidden="1" x14ac:dyDescent="0.25">
      <c r="A19" s="33" t="s">
        <v>122</v>
      </c>
      <c r="B19" s="34"/>
      <c r="C19" s="40">
        <v>0</v>
      </c>
      <c r="D19" s="40"/>
      <c r="E19" s="40">
        <f>D19-C19</f>
        <v>0</v>
      </c>
      <c r="H19" s="95"/>
      <c r="I19" s="95"/>
      <c r="J19" s="98"/>
      <c r="O19" s="48"/>
    </row>
    <row r="20" spans="1:15" hidden="1" x14ac:dyDescent="0.25">
      <c r="A20" s="33" t="s">
        <v>123</v>
      </c>
      <c r="B20" s="34"/>
      <c r="C20" s="40">
        <f>-121.541662578305*C4</f>
        <v>-510.47498282888097</v>
      </c>
      <c r="D20" s="40">
        <f>SUM(D21:D25)</f>
        <v>-520.995</v>
      </c>
      <c r="E20" s="40">
        <f>D20-C20</f>
        <v>-10.520017171119036</v>
      </c>
      <c r="H20" s="95"/>
      <c r="I20" s="95"/>
      <c r="J20" s="98"/>
      <c r="O20" s="48"/>
    </row>
    <row r="21" spans="1:15" outlineLevel="1" x14ac:dyDescent="0.25">
      <c r="A21" s="81" t="s">
        <v>103</v>
      </c>
      <c r="B21" s="115"/>
      <c r="C21" s="40"/>
      <c r="D21" s="82">
        <f>-(D142+F142)</f>
        <v>-289.53942000000001</v>
      </c>
      <c r="E21" s="40"/>
      <c r="J21" s="98"/>
      <c r="O21" s="48"/>
    </row>
    <row r="22" spans="1:15" outlineLevel="1" x14ac:dyDescent="0.25">
      <c r="A22" s="81" t="s">
        <v>147</v>
      </c>
      <c r="B22" s="115"/>
      <c r="C22" s="40"/>
      <c r="D22" s="82">
        <f>-(F144+F153)-SUM(D160:F160)</f>
        <v>-227.45558</v>
      </c>
      <c r="E22" s="40"/>
      <c r="J22" s="98"/>
      <c r="O22" s="48"/>
    </row>
    <row r="23" spans="1:15" outlineLevel="1" x14ac:dyDescent="0.25">
      <c r="A23" s="81" t="s">
        <v>146</v>
      </c>
      <c r="B23" s="115"/>
      <c r="C23" s="40"/>
      <c r="D23" s="82"/>
      <c r="E23" s="40"/>
      <c r="J23" s="98"/>
      <c r="O23" s="48"/>
    </row>
    <row r="24" spans="1:15" outlineLevel="1" x14ac:dyDescent="0.25">
      <c r="A24" s="81" t="s">
        <v>189</v>
      </c>
      <c r="B24" s="115"/>
      <c r="C24" s="40"/>
      <c r="D24" s="82"/>
      <c r="E24" s="40"/>
      <c r="J24" s="98"/>
      <c r="O24" s="48"/>
    </row>
    <row r="25" spans="1:15" outlineLevel="1" x14ac:dyDescent="0.25">
      <c r="A25" s="81" t="s">
        <v>98</v>
      </c>
      <c r="B25" s="115"/>
      <c r="C25" s="40"/>
      <c r="D25" s="82">
        <f>-D163</f>
        <v>-4</v>
      </c>
      <c r="E25" s="40"/>
      <c r="J25" s="98"/>
      <c r="O25" s="48"/>
    </row>
    <row r="26" spans="1:15" hidden="1" x14ac:dyDescent="0.25">
      <c r="A26" s="52" t="s">
        <v>143</v>
      </c>
      <c r="B26" s="116"/>
      <c r="C26" s="53">
        <v>0</v>
      </c>
      <c r="D26" s="53" t="e">
        <f>SUM(D27:D29)</f>
        <v>#REF!</v>
      </c>
      <c r="E26" s="53" t="e">
        <f>D26-C26</f>
        <v>#REF!</v>
      </c>
      <c r="H26" s="95"/>
      <c r="I26" s="95"/>
      <c r="J26" s="98"/>
      <c r="O26" s="48"/>
    </row>
    <row r="27" spans="1:15" outlineLevel="1" x14ac:dyDescent="0.25">
      <c r="A27" s="81" t="s">
        <v>149</v>
      </c>
      <c r="B27" s="115"/>
      <c r="C27" s="53"/>
      <c r="D27" s="82" t="e">
        <f>-#REF!</f>
        <v>#REF!</v>
      </c>
      <c r="E27" s="53"/>
      <c r="J27" s="98"/>
      <c r="O27" s="48"/>
    </row>
    <row r="28" spans="1:15" outlineLevel="1" x14ac:dyDescent="0.25">
      <c r="A28" s="81" t="s">
        <v>167</v>
      </c>
      <c r="B28" s="115"/>
      <c r="C28" s="53"/>
      <c r="D28" s="82"/>
      <c r="E28" s="53"/>
      <c r="J28" s="98"/>
      <c r="O28" s="48"/>
    </row>
    <row r="29" spans="1:15" outlineLevel="1" x14ac:dyDescent="0.25">
      <c r="A29" s="81" t="s">
        <v>196</v>
      </c>
      <c r="B29" s="115"/>
      <c r="C29" s="53"/>
      <c r="D29" s="82">
        <f>-F185</f>
        <v>0</v>
      </c>
      <c r="E29" s="53"/>
      <c r="J29" s="98"/>
      <c r="O29" s="48"/>
    </row>
    <row r="30" spans="1:15" hidden="1" x14ac:dyDescent="0.25">
      <c r="A30" s="33" t="s">
        <v>124</v>
      </c>
      <c r="B30" s="34"/>
      <c r="C30" s="40">
        <f>-71.5157508348324*C4</f>
        <v>-300.36615350629609</v>
      </c>
      <c r="D30" s="83" t="e">
        <f>SUM(D31:D71)</f>
        <v>#REF!</v>
      </c>
      <c r="E30" s="40" t="e">
        <f>D30-C30</f>
        <v>#REF!</v>
      </c>
      <c r="H30" s="95"/>
      <c r="I30" s="95"/>
      <c r="J30" s="98"/>
      <c r="O30" s="48"/>
    </row>
    <row r="31" spans="1:15" outlineLevel="1" x14ac:dyDescent="0.25">
      <c r="A31" s="81" t="s">
        <v>29</v>
      </c>
      <c r="B31" s="115"/>
      <c r="C31" s="40"/>
      <c r="D31" s="83">
        <f>-E146</f>
        <v>-69.058080000000004</v>
      </c>
      <c r="E31" s="40"/>
      <c r="J31" s="98"/>
      <c r="O31" s="48"/>
    </row>
    <row r="32" spans="1:15" outlineLevel="1" x14ac:dyDescent="0.25">
      <c r="A32" s="81" t="s">
        <v>9</v>
      </c>
      <c r="B32" s="115"/>
      <c r="C32" s="40"/>
      <c r="D32" s="83"/>
      <c r="E32" s="40"/>
      <c r="J32" s="98"/>
      <c r="O32" s="48"/>
    </row>
    <row r="33" spans="1:15" outlineLevel="1" x14ac:dyDescent="0.25">
      <c r="A33" s="81" t="s">
        <v>111</v>
      </c>
      <c r="B33" s="115"/>
      <c r="C33" s="40"/>
      <c r="D33" s="83"/>
      <c r="E33" s="40"/>
      <c r="J33" s="98"/>
      <c r="O33" s="48"/>
    </row>
    <row r="34" spans="1:15" outlineLevel="1" x14ac:dyDescent="0.25">
      <c r="A34" s="81" t="s">
        <v>45</v>
      </c>
      <c r="B34" s="115"/>
      <c r="C34" s="40"/>
      <c r="D34" s="83"/>
      <c r="E34" s="40"/>
      <c r="J34" s="98"/>
      <c r="O34" s="48"/>
    </row>
    <row r="35" spans="1:15" outlineLevel="1" x14ac:dyDescent="0.25">
      <c r="A35" s="81" t="s">
        <v>52</v>
      </c>
      <c r="B35" s="115"/>
      <c r="C35" s="40"/>
      <c r="D35" s="83">
        <f>-F150</f>
        <v>-2.9049999999999998</v>
      </c>
      <c r="E35" s="40"/>
      <c r="J35" s="98"/>
      <c r="O35" s="48"/>
    </row>
    <row r="36" spans="1:15" outlineLevel="1" x14ac:dyDescent="0.25">
      <c r="A36" s="81" t="s">
        <v>183</v>
      </c>
      <c r="B36" s="115"/>
      <c r="C36" s="40"/>
      <c r="D36" s="83">
        <f>-F177</f>
        <v>0</v>
      </c>
      <c r="E36" s="40"/>
      <c r="J36" s="98"/>
      <c r="O36" s="48"/>
    </row>
    <row r="37" spans="1:15" outlineLevel="1" x14ac:dyDescent="0.25">
      <c r="A37" s="81" t="s">
        <v>56</v>
      </c>
      <c r="B37" s="115"/>
      <c r="C37" s="40"/>
      <c r="D37" s="83"/>
      <c r="E37" s="40"/>
      <c r="J37" s="98"/>
      <c r="O37" s="48"/>
    </row>
    <row r="38" spans="1:15" outlineLevel="1" x14ac:dyDescent="0.25">
      <c r="A38" s="81" t="s">
        <v>12</v>
      </c>
      <c r="B38" s="115"/>
      <c r="C38" s="40"/>
      <c r="D38" s="83" t="e">
        <f>-(D151+#REF!)</f>
        <v>#REF!</v>
      </c>
      <c r="E38" s="40"/>
      <c r="J38" s="98"/>
      <c r="O38" s="48"/>
    </row>
    <row r="39" spans="1:15" outlineLevel="1" x14ac:dyDescent="0.25">
      <c r="A39" s="81" t="s">
        <v>68</v>
      </c>
      <c r="B39" s="115"/>
      <c r="C39" s="40"/>
      <c r="D39" s="83">
        <f>-SUM(C155:F155)</f>
        <v>-5.23665</v>
      </c>
      <c r="E39" s="40"/>
      <c r="J39" s="98"/>
      <c r="O39" s="48"/>
    </row>
    <row r="40" spans="1:15" outlineLevel="1" x14ac:dyDescent="0.25">
      <c r="A40" s="81" t="s">
        <v>42</v>
      </c>
      <c r="B40" s="115"/>
      <c r="C40" s="40"/>
      <c r="D40" s="83">
        <f>-SUM(C164:F164)</f>
        <v>-0.59531999999999996</v>
      </c>
      <c r="E40" s="40"/>
      <c r="J40" s="98"/>
      <c r="O40" s="48"/>
    </row>
    <row r="41" spans="1:15" outlineLevel="1" x14ac:dyDescent="0.25">
      <c r="A41" s="81" t="s">
        <v>76</v>
      </c>
      <c r="B41" s="115"/>
      <c r="C41" s="40"/>
      <c r="D41" s="83">
        <f>-SUM(F165:F165)</f>
        <v>-0.31361</v>
      </c>
      <c r="E41" s="40"/>
      <c r="J41" s="98"/>
      <c r="O41" s="48"/>
    </row>
    <row r="42" spans="1:15" outlineLevel="1" x14ac:dyDescent="0.25">
      <c r="A42" s="81" t="s">
        <v>30</v>
      </c>
      <c r="B42" s="115"/>
      <c r="C42" s="40"/>
      <c r="D42" s="83">
        <f>-SUM(F166:F166)</f>
        <v>-37.739890000000003</v>
      </c>
      <c r="E42" s="40"/>
      <c r="J42" s="98"/>
      <c r="O42" s="48"/>
    </row>
    <row r="43" spans="1:15" outlineLevel="1" x14ac:dyDescent="0.25">
      <c r="A43" s="81" t="s">
        <v>15</v>
      </c>
      <c r="B43" s="115"/>
      <c r="C43" s="40"/>
      <c r="D43" s="83">
        <f>-SUM(C167:F167)</f>
        <v>-150.40052</v>
      </c>
      <c r="E43" s="40"/>
      <c r="J43" s="98"/>
      <c r="O43" s="48"/>
    </row>
    <row r="44" spans="1:15" outlineLevel="1" x14ac:dyDescent="0.25">
      <c r="A44" s="81" t="s">
        <v>165</v>
      </c>
      <c r="B44" s="115"/>
      <c r="C44" s="40"/>
      <c r="D44" s="83" t="e">
        <f>-#REF!</f>
        <v>#REF!</v>
      </c>
      <c r="E44" s="40"/>
      <c r="J44" s="98"/>
      <c r="O44" s="48"/>
    </row>
    <row r="45" spans="1:15" outlineLevel="1" x14ac:dyDescent="0.25">
      <c r="A45" s="81" t="s">
        <v>168</v>
      </c>
      <c r="B45" s="115"/>
      <c r="C45" s="40"/>
      <c r="D45" s="83"/>
      <c r="E45" s="40"/>
      <c r="J45" s="98"/>
      <c r="O45" s="48"/>
    </row>
    <row r="46" spans="1:15" outlineLevel="1" x14ac:dyDescent="0.25">
      <c r="A46" s="81" t="s">
        <v>24</v>
      </c>
      <c r="B46" s="115"/>
      <c r="C46" s="40"/>
      <c r="D46" s="83">
        <f>-SUM(D154:F154)</f>
        <v>-39.430129999999998</v>
      </c>
      <c r="E46" s="40"/>
      <c r="J46" s="98"/>
      <c r="O46" s="48"/>
    </row>
    <row r="47" spans="1:15" outlineLevel="1" x14ac:dyDescent="0.25">
      <c r="A47" s="81" t="s">
        <v>25</v>
      </c>
      <c r="B47" s="115"/>
      <c r="C47" s="40"/>
      <c r="D47" s="40">
        <f>-SUM(D195:F195)</f>
        <v>0</v>
      </c>
      <c r="E47" s="40"/>
      <c r="J47" s="49"/>
      <c r="O47" s="48"/>
    </row>
    <row r="48" spans="1:15" outlineLevel="1" x14ac:dyDescent="0.25">
      <c r="A48" s="81" t="s">
        <v>23</v>
      </c>
      <c r="B48" s="115"/>
      <c r="C48" s="40"/>
      <c r="D48" s="83">
        <f>-SUM(E173:F173)</f>
        <v>0</v>
      </c>
      <c r="E48" s="40"/>
      <c r="J48" s="98"/>
      <c r="O48" s="48"/>
    </row>
    <row r="49" spans="1:15" outlineLevel="1" x14ac:dyDescent="0.25">
      <c r="A49" s="81" t="s">
        <v>35</v>
      </c>
      <c r="B49" s="115"/>
      <c r="C49" s="40"/>
      <c r="D49" s="83"/>
      <c r="E49" s="40"/>
      <c r="J49" s="98"/>
      <c r="O49" s="48"/>
    </row>
    <row r="50" spans="1:15" outlineLevel="1" x14ac:dyDescent="0.25">
      <c r="A50" s="81" t="s">
        <v>40</v>
      </c>
      <c r="B50" s="115"/>
      <c r="C50" s="40"/>
      <c r="D50" s="83"/>
      <c r="E50" s="40"/>
      <c r="J50" s="98"/>
      <c r="O50" s="48"/>
    </row>
    <row r="51" spans="1:15" outlineLevel="1" x14ac:dyDescent="0.25">
      <c r="A51" s="81" t="s">
        <v>91</v>
      </c>
      <c r="B51" s="115"/>
      <c r="C51" s="40"/>
      <c r="D51" s="83"/>
      <c r="E51" s="40"/>
      <c r="J51" s="98"/>
      <c r="O51" s="48"/>
    </row>
    <row r="52" spans="1:15" outlineLevel="1" x14ac:dyDescent="0.25">
      <c r="A52" s="81" t="s">
        <v>100</v>
      </c>
      <c r="B52" s="115"/>
      <c r="C52" s="40"/>
      <c r="D52" s="83"/>
      <c r="E52" s="40"/>
      <c r="J52" s="98"/>
      <c r="O52" s="48"/>
    </row>
    <row r="53" spans="1:15" outlineLevel="1" x14ac:dyDescent="0.25">
      <c r="A53" s="81" t="s">
        <v>13</v>
      </c>
      <c r="B53" s="115"/>
      <c r="C53" s="40"/>
      <c r="D53" s="83">
        <f>-SUM(C169:F169)</f>
        <v>-6.4232699999999996</v>
      </c>
      <c r="E53" s="40"/>
      <c r="J53" s="98"/>
      <c r="O53" s="48"/>
    </row>
    <row r="54" spans="1:15" outlineLevel="1" x14ac:dyDescent="0.25">
      <c r="A54" s="81" t="s">
        <v>41</v>
      </c>
      <c r="B54" s="115"/>
      <c r="C54" s="40"/>
      <c r="D54" s="83">
        <f>-SUM(C170:F170)</f>
        <v>-1.8413600000000001</v>
      </c>
      <c r="E54" s="40"/>
      <c r="J54" s="98"/>
      <c r="O54" s="48"/>
    </row>
    <row r="55" spans="1:15" outlineLevel="1" x14ac:dyDescent="0.25">
      <c r="A55" s="81" t="s">
        <v>36</v>
      </c>
      <c r="B55" s="115"/>
      <c r="C55" s="40"/>
      <c r="D55" s="83">
        <f>-SUM(C171:F171)</f>
        <v>-2.17957</v>
      </c>
      <c r="E55" s="40"/>
      <c r="J55" s="98"/>
      <c r="O55" s="48"/>
    </row>
    <row r="56" spans="1:15" outlineLevel="1" x14ac:dyDescent="0.25">
      <c r="A56" s="81" t="s">
        <v>62</v>
      </c>
      <c r="B56" s="115"/>
      <c r="C56" s="40"/>
      <c r="D56" s="83"/>
      <c r="E56" s="40"/>
      <c r="J56" s="98"/>
      <c r="O56" s="48"/>
    </row>
    <row r="57" spans="1:15" outlineLevel="1" x14ac:dyDescent="0.25">
      <c r="A57" s="81" t="s">
        <v>54</v>
      </c>
      <c r="B57" s="115"/>
      <c r="C57" s="40"/>
      <c r="D57" s="83">
        <f>-SUM(D172:F172)</f>
        <v>-9.1823099999999993</v>
      </c>
      <c r="E57" s="40"/>
      <c r="J57" s="98"/>
      <c r="O57" s="48"/>
    </row>
    <row r="58" spans="1:15" outlineLevel="1" x14ac:dyDescent="0.25">
      <c r="A58" s="81" t="s">
        <v>166</v>
      </c>
      <c r="B58" s="115"/>
      <c r="C58" s="40"/>
      <c r="D58" s="83"/>
      <c r="E58" s="40"/>
      <c r="J58" s="98"/>
      <c r="O58" s="48"/>
    </row>
    <row r="59" spans="1:15" outlineLevel="1" x14ac:dyDescent="0.25">
      <c r="A59" s="81" t="s">
        <v>48</v>
      </c>
      <c r="B59" s="115"/>
      <c r="C59" s="40"/>
      <c r="D59" s="83"/>
      <c r="E59" s="40"/>
      <c r="J59" s="98"/>
      <c r="O59" s="48"/>
    </row>
    <row r="60" spans="1:15" outlineLevel="1" x14ac:dyDescent="0.25">
      <c r="A60" s="81" t="s">
        <v>73</v>
      </c>
      <c r="B60" s="115"/>
      <c r="C60" s="40"/>
      <c r="D60" s="83">
        <f>-SUM(D149:F149)</f>
        <v>-15.100149999999999</v>
      </c>
      <c r="E60" s="40"/>
      <c r="J60" s="98"/>
      <c r="O60" s="48"/>
    </row>
    <row r="61" spans="1:15" outlineLevel="1" x14ac:dyDescent="0.25">
      <c r="A61" s="81" t="s">
        <v>66</v>
      </c>
      <c r="B61" s="115"/>
      <c r="C61" s="40"/>
      <c r="D61" s="83">
        <f>-SUM(C174:F174)</f>
        <v>0</v>
      </c>
      <c r="E61" s="40"/>
      <c r="J61" s="98"/>
      <c r="O61" s="48"/>
    </row>
    <row r="62" spans="1:15" outlineLevel="1" x14ac:dyDescent="0.25">
      <c r="A62" s="81" t="s">
        <v>80</v>
      </c>
      <c r="B62" s="115"/>
      <c r="C62" s="40"/>
      <c r="D62" s="83">
        <f>-SUM(C190:F190)</f>
        <v>0</v>
      </c>
      <c r="E62" s="40"/>
      <c r="J62" s="98"/>
      <c r="O62" s="48"/>
    </row>
    <row r="63" spans="1:15" outlineLevel="1" x14ac:dyDescent="0.25">
      <c r="A63" s="81" t="s">
        <v>171</v>
      </c>
      <c r="B63" s="115"/>
      <c r="C63" s="40"/>
      <c r="D63" s="83"/>
      <c r="E63" s="40"/>
      <c r="J63" s="98"/>
      <c r="O63" s="48"/>
    </row>
    <row r="64" spans="1:15" outlineLevel="1" x14ac:dyDescent="0.25">
      <c r="A64" s="81" t="s">
        <v>28</v>
      </c>
      <c r="B64" s="115"/>
      <c r="C64" s="40"/>
      <c r="D64" s="83"/>
      <c r="E64" s="40"/>
      <c r="J64" s="98"/>
      <c r="O64" s="48"/>
    </row>
    <row r="65" spans="1:15" outlineLevel="1" x14ac:dyDescent="0.25">
      <c r="A65" s="81" t="s">
        <v>210</v>
      </c>
      <c r="B65" s="115"/>
      <c r="C65" s="40"/>
      <c r="D65" s="83">
        <f>-SUM(D187:F187)</f>
        <v>0</v>
      </c>
      <c r="E65" s="40"/>
      <c r="J65" s="98"/>
      <c r="O65" s="48"/>
    </row>
    <row r="66" spans="1:15" outlineLevel="1" x14ac:dyDescent="0.25">
      <c r="A66" s="81" t="s">
        <v>188</v>
      </c>
      <c r="B66" s="115"/>
      <c r="C66" s="40"/>
      <c r="D66" s="83"/>
      <c r="E66" s="40"/>
      <c r="J66" s="98"/>
      <c r="O66" s="48"/>
    </row>
    <row r="67" spans="1:15" outlineLevel="1" x14ac:dyDescent="0.25">
      <c r="A67" s="81" t="s">
        <v>208</v>
      </c>
      <c r="B67" s="115"/>
      <c r="C67" s="40"/>
      <c r="D67" s="83">
        <f>-SUM(C176:F176)</f>
        <v>0</v>
      </c>
      <c r="E67" s="40"/>
      <c r="J67" s="98"/>
      <c r="O67" s="48"/>
    </row>
    <row r="68" spans="1:15" outlineLevel="1" x14ac:dyDescent="0.25">
      <c r="A68" s="81" t="s">
        <v>211</v>
      </c>
      <c r="B68" s="115"/>
      <c r="C68" s="40"/>
      <c r="D68" s="83">
        <f>-SUM(E178:F178)</f>
        <v>-22.61</v>
      </c>
      <c r="E68" s="40"/>
      <c r="J68" s="98"/>
      <c r="O68" s="48"/>
    </row>
    <row r="69" spans="1:15" outlineLevel="1" x14ac:dyDescent="0.25">
      <c r="A69" s="81" t="s">
        <v>182</v>
      </c>
      <c r="B69" s="115"/>
      <c r="C69" s="40"/>
      <c r="D69" s="83"/>
      <c r="E69" s="40"/>
      <c r="J69" s="98"/>
      <c r="O69" s="48"/>
    </row>
    <row r="70" spans="1:15" outlineLevel="1" x14ac:dyDescent="0.25">
      <c r="A70" s="104" t="s">
        <v>195</v>
      </c>
      <c r="B70" s="117"/>
      <c r="C70" s="105"/>
      <c r="D70" s="105">
        <f>-SUM(D162:F162)</f>
        <v>-18.366</v>
      </c>
      <c r="E70" s="40"/>
      <c r="J70" s="98"/>
      <c r="O70" s="48"/>
    </row>
    <row r="71" spans="1:15" outlineLevel="1" x14ac:dyDescent="0.25">
      <c r="A71" s="84" t="s">
        <v>150</v>
      </c>
      <c r="B71" s="118"/>
      <c r="C71" s="41"/>
      <c r="D71" s="62">
        <f>-SUM(D159:F159)</f>
        <v>-0.36652000000000001</v>
      </c>
      <c r="E71" s="41"/>
      <c r="J71" s="98"/>
      <c r="O71" s="48"/>
    </row>
    <row r="72" spans="1:15" hidden="1" x14ac:dyDescent="0.25">
      <c r="A72" s="34"/>
      <c r="B72" s="34"/>
      <c r="C72" s="40"/>
      <c r="D72" s="40"/>
      <c r="E72" s="40"/>
      <c r="J72" s="98"/>
      <c r="O72" s="48"/>
    </row>
    <row r="73" spans="1:15" hidden="1" x14ac:dyDescent="0.25">
      <c r="A73" s="35" t="s">
        <v>134</v>
      </c>
      <c r="B73" s="35"/>
      <c r="C73" s="42">
        <f>C9+C14+C19+C20+C26+C30</f>
        <v>-455.94113633517702</v>
      </c>
      <c r="D73" s="42" t="e">
        <f>D9+D14+D19+D20+D26+D30</f>
        <v>#REF!</v>
      </c>
      <c r="E73" s="42" t="e">
        <f>E9+E14+E19+E20+E26+E30</f>
        <v>#REF!</v>
      </c>
      <c r="H73" s="95"/>
      <c r="I73" s="95"/>
      <c r="J73" s="98"/>
      <c r="O73" s="48"/>
    </row>
    <row r="74" spans="1:15" s="1" customFormat="1" hidden="1" x14ac:dyDescent="0.25">
      <c r="A74" s="34"/>
      <c r="B74" s="34"/>
      <c r="C74" s="40"/>
      <c r="D74" s="40"/>
      <c r="E74" s="40"/>
      <c r="J74" s="98"/>
      <c r="O74" s="49"/>
    </row>
    <row r="75" spans="1:15" s="1" customFormat="1" hidden="1" x14ac:dyDescent="0.25">
      <c r="A75" s="31" t="s">
        <v>125</v>
      </c>
      <c r="B75" s="119"/>
      <c r="C75" s="43">
        <f>-59.33*C4</f>
        <v>-249.18600000000001</v>
      </c>
      <c r="D75" s="43">
        <f>SUM(D76:D79)</f>
        <v>0</v>
      </c>
      <c r="E75" s="43">
        <f>D75-C75</f>
        <v>249.18600000000001</v>
      </c>
      <c r="H75" s="93"/>
      <c r="I75" s="93"/>
      <c r="J75" s="98"/>
      <c r="O75" s="49"/>
    </row>
    <row r="76" spans="1:15" s="1" customFormat="1" outlineLevel="1" x14ac:dyDescent="0.25">
      <c r="A76" s="81" t="s">
        <v>53</v>
      </c>
      <c r="B76" s="115"/>
      <c r="C76" s="40"/>
      <c r="D76" s="40"/>
      <c r="E76" s="40"/>
      <c r="J76" s="98"/>
      <c r="O76" s="49"/>
    </row>
    <row r="77" spans="1:15" s="1" customFormat="1" outlineLevel="1" x14ac:dyDescent="0.25">
      <c r="A77" s="81" t="s">
        <v>148</v>
      </c>
      <c r="B77" s="115"/>
      <c r="C77" s="40"/>
      <c r="D77" s="40"/>
      <c r="E77" s="40"/>
      <c r="J77" s="98"/>
      <c r="O77" s="49"/>
    </row>
    <row r="78" spans="1:15" s="1" customFormat="1" outlineLevel="1" x14ac:dyDescent="0.25">
      <c r="A78" s="81" t="s">
        <v>209</v>
      </c>
      <c r="B78" s="115"/>
      <c r="C78" s="40"/>
      <c r="D78" s="40">
        <f>-SUM(C175:F175)</f>
        <v>0</v>
      </c>
      <c r="E78" s="40"/>
      <c r="J78" s="98"/>
      <c r="O78" s="49"/>
    </row>
    <row r="79" spans="1:15" s="1" customFormat="1" outlineLevel="1" x14ac:dyDescent="0.25">
      <c r="A79" s="81" t="s">
        <v>151</v>
      </c>
      <c r="B79" s="115"/>
      <c r="C79" s="40"/>
      <c r="D79" s="40"/>
      <c r="E79" s="40"/>
      <c r="J79" s="98"/>
      <c r="O79" s="49"/>
    </row>
    <row r="80" spans="1:15" hidden="1" x14ac:dyDescent="0.25">
      <c r="A80" s="33" t="s">
        <v>126</v>
      </c>
      <c r="B80" s="34"/>
      <c r="C80" s="40">
        <f>8.0231620925531*C4</f>
        <v>33.69728078872302</v>
      </c>
      <c r="D80" s="40">
        <f>SUM(D81:D86)</f>
        <v>-127.94</v>
      </c>
      <c r="E80" s="40">
        <f>D80-C80</f>
        <v>-161.63728078872302</v>
      </c>
      <c r="H80" s="95"/>
      <c r="I80" s="95"/>
      <c r="J80" s="98"/>
      <c r="O80" s="48"/>
    </row>
    <row r="81" spans="1:15" outlineLevel="1" x14ac:dyDescent="0.25">
      <c r="A81" s="81" t="s">
        <v>152</v>
      </c>
      <c r="B81" s="115"/>
      <c r="C81" s="40"/>
      <c r="D81" s="40">
        <f>-F145</f>
        <v>-15.651999999999999</v>
      </c>
      <c r="E81" s="40"/>
      <c r="J81" s="98"/>
      <c r="O81" s="48"/>
    </row>
    <row r="82" spans="1:15" outlineLevel="1" x14ac:dyDescent="0.25">
      <c r="A82" s="81" t="s">
        <v>10</v>
      </c>
      <c r="B82" s="115"/>
      <c r="C82" s="40"/>
      <c r="D82" s="40">
        <f>-SUM(C148:F148)</f>
        <v>-55</v>
      </c>
      <c r="E82" s="40"/>
      <c r="J82" s="98"/>
      <c r="O82" s="48"/>
    </row>
    <row r="83" spans="1:15" outlineLevel="1" x14ac:dyDescent="0.25">
      <c r="A83" s="81" t="s">
        <v>43</v>
      </c>
      <c r="B83" s="115"/>
      <c r="C83" s="40"/>
      <c r="D83" s="40">
        <f>-C192</f>
        <v>0</v>
      </c>
      <c r="E83" s="40"/>
      <c r="J83" s="98"/>
      <c r="O83" s="48"/>
    </row>
    <row r="84" spans="1:15" outlineLevel="1" x14ac:dyDescent="0.25">
      <c r="A84" s="81" t="s">
        <v>194</v>
      </c>
      <c r="B84" s="115"/>
      <c r="C84" s="40"/>
      <c r="D84" s="40">
        <f>C137-C186</f>
        <v>0</v>
      </c>
      <c r="E84" s="40"/>
      <c r="J84" s="98"/>
      <c r="O84" s="48"/>
    </row>
    <row r="85" spans="1:15" outlineLevel="1" x14ac:dyDescent="0.25">
      <c r="A85" s="81" t="s">
        <v>212</v>
      </c>
      <c r="B85" s="115"/>
      <c r="C85" s="40"/>
      <c r="D85" s="40">
        <f>SUM(C135:F135)</f>
        <v>0</v>
      </c>
      <c r="E85" s="40"/>
      <c r="J85" s="98"/>
      <c r="O85" s="48"/>
    </row>
    <row r="86" spans="1:15" outlineLevel="1" x14ac:dyDescent="0.25">
      <c r="A86" s="81" t="s">
        <v>109</v>
      </c>
      <c r="B86" s="115"/>
      <c r="C86" s="40"/>
      <c r="D86" s="40">
        <f>-SUM(D147:F147)</f>
        <v>-57.287999999999997</v>
      </c>
      <c r="E86" s="40"/>
      <c r="J86" s="98"/>
      <c r="O86" s="48"/>
    </row>
    <row r="87" spans="1:15" hidden="1" x14ac:dyDescent="0.25">
      <c r="A87" s="33" t="s">
        <v>127</v>
      </c>
      <c r="B87" s="34"/>
      <c r="C87" s="40">
        <f>-1.11999972306073*C4</f>
        <v>-4.7039988368550656</v>
      </c>
      <c r="D87" s="40"/>
      <c r="E87" s="40">
        <f t="shared" ref="E87:E88" si="0">D87-C87</f>
        <v>4.7039988368550656</v>
      </c>
      <c r="H87" s="95"/>
      <c r="I87" s="95"/>
      <c r="J87" s="98"/>
      <c r="O87" s="48"/>
    </row>
    <row r="88" spans="1:15" hidden="1" x14ac:dyDescent="0.25">
      <c r="A88" s="33" t="s">
        <v>128</v>
      </c>
      <c r="B88" s="34"/>
      <c r="C88" s="40">
        <v>0</v>
      </c>
      <c r="D88" s="40"/>
      <c r="E88" s="40">
        <f t="shared" si="0"/>
        <v>0</v>
      </c>
      <c r="H88" s="95"/>
      <c r="I88" s="95"/>
      <c r="J88" s="98"/>
      <c r="O88" s="48"/>
    </row>
    <row r="89" spans="1:15" hidden="1" x14ac:dyDescent="0.25">
      <c r="A89" s="33" t="s">
        <v>129</v>
      </c>
      <c r="B89" s="34"/>
      <c r="C89" s="40">
        <f>8.31321479356027*C4</f>
        <v>34.915502132953137</v>
      </c>
      <c r="D89" s="40">
        <f>SUM(D90:D91)</f>
        <v>124.54700000000001</v>
      </c>
      <c r="E89" s="40">
        <f>D89-C89</f>
        <v>89.631497867046875</v>
      </c>
      <c r="H89" s="95"/>
      <c r="I89" s="95"/>
      <c r="J89" s="49"/>
      <c r="O89" s="48"/>
    </row>
    <row r="90" spans="1:15" outlineLevel="1" x14ac:dyDescent="0.25">
      <c r="A90" s="81" t="s">
        <v>59</v>
      </c>
      <c r="B90" s="115"/>
      <c r="C90" s="40"/>
      <c r="D90" s="40">
        <f>SUM(C131:F131)</f>
        <v>128.75700000000001</v>
      </c>
      <c r="E90" s="40"/>
      <c r="J90" s="49"/>
      <c r="O90" s="48"/>
    </row>
    <row r="91" spans="1:15" outlineLevel="1" x14ac:dyDescent="0.25">
      <c r="A91" s="84" t="s">
        <v>145</v>
      </c>
      <c r="B91" s="118"/>
      <c r="C91" s="41"/>
      <c r="D91" s="41">
        <f>-SUM(C152:F152)</f>
        <v>-4.21</v>
      </c>
      <c r="E91" s="41"/>
      <c r="J91" s="49"/>
      <c r="O91" s="48"/>
    </row>
    <row r="92" spans="1:15" hidden="1" x14ac:dyDescent="0.25">
      <c r="A92" s="34"/>
      <c r="B92" s="34"/>
      <c r="C92" s="40"/>
      <c r="D92" s="40"/>
      <c r="E92" s="40"/>
      <c r="J92" s="49"/>
      <c r="O92" s="48"/>
    </row>
    <row r="93" spans="1:15" hidden="1" x14ac:dyDescent="0.25">
      <c r="A93" s="35" t="s">
        <v>135</v>
      </c>
      <c r="B93" s="35"/>
      <c r="C93" s="42">
        <f>C75+C80+C87+C88+C89</f>
        <v>-185.27721591517894</v>
      </c>
      <c r="D93" s="42">
        <f>D75+D80+D89+D88+D87</f>
        <v>-3.3929999999999865</v>
      </c>
      <c r="E93" s="42">
        <f>E75+E80+E87+E88+E89</f>
        <v>181.88421591517891</v>
      </c>
      <c r="H93" s="95"/>
      <c r="I93" s="95"/>
      <c r="J93" s="49"/>
      <c r="O93" s="48"/>
    </row>
    <row r="94" spans="1:15" hidden="1" x14ac:dyDescent="0.25">
      <c r="A94" s="36"/>
      <c r="B94" s="36"/>
      <c r="C94" s="44"/>
      <c r="D94" s="44"/>
      <c r="E94" s="44"/>
      <c r="J94" s="49"/>
      <c r="O94" s="48"/>
    </row>
    <row r="95" spans="1:15" hidden="1" x14ac:dyDescent="0.25">
      <c r="A95" s="37" t="s">
        <v>136</v>
      </c>
      <c r="B95" s="37"/>
      <c r="C95" s="45">
        <f>C93+C73</f>
        <v>-641.21835225035602</v>
      </c>
      <c r="D95" s="45" t="e">
        <f>D93+D73</f>
        <v>#REF!</v>
      </c>
      <c r="E95" s="45" t="e">
        <f t="shared" ref="E95" si="1">E93+E73</f>
        <v>#REF!</v>
      </c>
      <c r="H95" s="95"/>
      <c r="I95" s="95"/>
      <c r="J95" s="49"/>
      <c r="O95" s="48"/>
    </row>
    <row r="96" spans="1:15" hidden="1" x14ac:dyDescent="0.25">
      <c r="A96" s="34"/>
      <c r="B96" s="34"/>
      <c r="C96" s="44"/>
      <c r="D96" s="44"/>
      <c r="E96" s="44"/>
      <c r="J96" s="49"/>
      <c r="O96" s="48"/>
    </row>
    <row r="97" spans="1:15" hidden="1" x14ac:dyDescent="0.25">
      <c r="A97" s="31" t="s">
        <v>130</v>
      </c>
      <c r="B97" s="119"/>
      <c r="C97" s="43">
        <v>0</v>
      </c>
      <c r="D97" s="43"/>
      <c r="E97" s="43"/>
      <c r="J97" s="49"/>
      <c r="O97" s="48"/>
    </row>
    <row r="98" spans="1:15" hidden="1" x14ac:dyDescent="0.25">
      <c r="A98" s="33" t="s">
        <v>131</v>
      </c>
      <c r="B98" s="34"/>
      <c r="C98" s="40">
        <v>0</v>
      </c>
      <c r="D98" s="40"/>
      <c r="E98" s="40"/>
      <c r="J98" s="49"/>
      <c r="O98" s="48"/>
    </row>
    <row r="99" spans="1:15" hidden="1" x14ac:dyDescent="0.25">
      <c r="A99" s="33" t="s">
        <v>132</v>
      </c>
      <c r="B99" s="34"/>
      <c r="C99" s="40">
        <v>0</v>
      </c>
      <c r="D99" s="40"/>
      <c r="E99" s="40"/>
      <c r="J99" s="49"/>
      <c r="O99" s="48"/>
    </row>
    <row r="100" spans="1:15" hidden="1" x14ac:dyDescent="0.25">
      <c r="A100" s="33" t="s">
        <v>133</v>
      </c>
      <c r="B100" s="34"/>
      <c r="C100" s="40">
        <f>-42.75*C4</f>
        <v>-179.55</v>
      </c>
      <c r="D100" s="40">
        <f>SUM(D101:D109)</f>
        <v>-3</v>
      </c>
      <c r="E100" s="40">
        <f>D100-C100</f>
        <v>176.55</v>
      </c>
      <c r="H100" s="95"/>
      <c r="I100" s="95"/>
      <c r="J100" s="49"/>
      <c r="O100" s="48"/>
    </row>
    <row r="101" spans="1:15" outlineLevel="1" x14ac:dyDescent="0.25">
      <c r="A101" s="81" t="s">
        <v>80</v>
      </c>
      <c r="B101" s="115"/>
      <c r="C101" s="40"/>
      <c r="D101" s="40"/>
      <c r="E101" s="40"/>
      <c r="J101" s="49"/>
      <c r="O101" s="48"/>
    </row>
    <row r="102" spans="1:15" outlineLevel="1" x14ac:dyDescent="0.25">
      <c r="A102" s="81" t="s">
        <v>9</v>
      </c>
      <c r="B102" s="115"/>
      <c r="C102" s="40"/>
      <c r="D102" s="40"/>
      <c r="E102" s="40"/>
      <c r="J102" s="49"/>
      <c r="O102" s="48"/>
    </row>
    <row r="103" spans="1:15" outlineLevel="1" x14ac:dyDescent="0.25">
      <c r="A103" s="81" t="s">
        <v>73</v>
      </c>
      <c r="B103" s="115"/>
      <c r="C103" s="40"/>
      <c r="D103" s="40"/>
      <c r="E103" s="40"/>
      <c r="J103" s="49"/>
      <c r="O103" s="48"/>
    </row>
    <row r="104" spans="1:15" outlineLevel="1" x14ac:dyDescent="0.25">
      <c r="A104" s="81" t="s">
        <v>62</v>
      </c>
      <c r="B104" s="115"/>
      <c r="C104" s="40"/>
      <c r="D104" s="40"/>
      <c r="E104" s="40"/>
      <c r="J104" s="49"/>
      <c r="O104" s="48"/>
    </row>
    <row r="105" spans="1:15" outlineLevel="1" x14ac:dyDescent="0.25">
      <c r="A105" s="81" t="s">
        <v>24</v>
      </c>
      <c r="B105" s="115"/>
      <c r="C105" s="40"/>
      <c r="D105" s="40"/>
      <c r="E105" s="40"/>
      <c r="J105" s="49"/>
      <c r="O105" s="48"/>
    </row>
    <row r="106" spans="1:15" outlineLevel="1" x14ac:dyDescent="0.25">
      <c r="A106" s="81" t="s">
        <v>68</v>
      </c>
      <c r="B106" s="115"/>
      <c r="C106" s="40"/>
      <c r="D106" s="40"/>
      <c r="E106" s="40"/>
      <c r="J106" s="49"/>
      <c r="O106" s="48"/>
    </row>
    <row r="107" spans="1:15" outlineLevel="1" x14ac:dyDescent="0.25">
      <c r="A107" s="81" t="s">
        <v>25</v>
      </c>
      <c r="B107" s="115"/>
      <c r="C107" s="40"/>
      <c r="D107" s="40"/>
      <c r="E107" s="40"/>
      <c r="J107" s="49"/>
      <c r="O107" s="48"/>
    </row>
    <row r="108" spans="1:15" outlineLevel="1" x14ac:dyDescent="0.25">
      <c r="A108" s="81" t="s">
        <v>94</v>
      </c>
      <c r="B108" s="115"/>
      <c r="C108" s="40"/>
      <c r="D108" s="40"/>
      <c r="E108" s="40"/>
      <c r="J108" s="49"/>
      <c r="O108" s="48"/>
    </row>
    <row r="109" spans="1:15" outlineLevel="1" x14ac:dyDescent="0.25">
      <c r="A109" s="84" t="s">
        <v>164</v>
      </c>
      <c r="B109" s="118"/>
      <c r="C109" s="41"/>
      <c r="D109" s="41">
        <f>-SUM(E168:F168)</f>
        <v>-3</v>
      </c>
      <c r="E109" s="41"/>
      <c r="J109" s="49"/>
      <c r="O109" s="48"/>
    </row>
    <row r="110" spans="1:15" hidden="1" x14ac:dyDescent="0.25">
      <c r="A110" s="34"/>
      <c r="B110" s="34"/>
      <c r="C110" s="44"/>
      <c r="D110" s="44"/>
      <c r="E110" s="44"/>
      <c r="J110" s="49"/>
      <c r="O110" s="48"/>
    </row>
    <row r="111" spans="1:15" hidden="1" x14ac:dyDescent="0.25">
      <c r="A111" s="35" t="s">
        <v>137</v>
      </c>
      <c r="B111" s="35"/>
      <c r="C111" s="42">
        <f>SUM(C97:C100)</f>
        <v>-179.55</v>
      </c>
      <c r="D111" s="42">
        <f>SUM(D97:D100)</f>
        <v>-3</v>
      </c>
      <c r="E111" s="42">
        <f>SUM(E97:E100)</f>
        <v>176.55</v>
      </c>
      <c r="H111" s="95"/>
      <c r="I111" s="95"/>
      <c r="J111" s="49"/>
      <c r="O111" s="48"/>
    </row>
    <row r="112" spans="1:15" hidden="1" x14ac:dyDescent="0.25">
      <c r="A112" s="34"/>
      <c r="B112" s="34"/>
      <c r="C112" s="44"/>
      <c r="D112" s="44"/>
      <c r="E112" s="44"/>
      <c r="J112" s="49"/>
      <c r="O112" s="48"/>
    </row>
    <row r="113" spans="1:15" hidden="1" x14ac:dyDescent="0.25">
      <c r="A113" s="37" t="s">
        <v>138</v>
      </c>
      <c r="B113" s="37"/>
      <c r="C113" s="45">
        <f>C111+C95</f>
        <v>-820.76835225035597</v>
      </c>
      <c r="D113" s="45" t="e">
        <f>D111+D95</f>
        <v>#REF!</v>
      </c>
      <c r="E113" s="45" t="e">
        <f>E111+E95</f>
        <v>#REF!</v>
      </c>
      <c r="H113" s="95"/>
      <c r="I113" s="95"/>
      <c r="J113" s="49"/>
      <c r="O113" s="48"/>
    </row>
    <row r="114" spans="1:15" hidden="1" x14ac:dyDescent="0.25">
      <c r="D114" s="92"/>
      <c r="J114" s="49"/>
      <c r="K114" s="48"/>
      <c r="L114" s="48"/>
      <c r="M114" s="48"/>
      <c r="N114" s="48"/>
      <c r="O114" s="48"/>
    </row>
    <row r="115" spans="1:15" hidden="1" x14ac:dyDescent="0.25">
      <c r="D115" s="92"/>
      <c r="J115" s="49"/>
      <c r="K115" s="48"/>
      <c r="L115" s="48"/>
      <c r="M115" s="48"/>
      <c r="N115" s="48"/>
      <c r="O115" s="48"/>
    </row>
    <row r="116" spans="1:15" hidden="1" x14ac:dyDescent="0.25">
      <c r="D116" s="93"/>
      <c r="J116" s="49"/>
      <c r="K116" s="48"/>
      <c r="L116" s="48"/>
      <c r="M116" s="48"/>
      <c r="N116" s="48"/>
      <c r="O116" s="48"/>
    </row>
    <row r="117" spans="1:15" hidden="1" x14ac:dyDescent="0.25">
      <c r="J117" s="49"/>
      <c r="K117" s="48"/>
      <c r="L117" s="48"/>
      <c r="M117" s="48"/>
      <c r="N117" s="48"/>
      <c r="O117" s="48"/>
    </row>
    <row r="118" spans="1:15" hidden="1" x14ac:dyDescent="0.25">
      <c r="J118" s="49"/>
      <c r="K118" s="48"/>
      <c r="L118" s="48"/>
      <c r="M118" s="48"/>
      <c r="N118" s="48"/>
      <c r="O118" s="48"/>
    </row>
    <row r="119" spans="1:15" hidden="1" x14ac:dyDescent="0.25">
      <c r="A119" s="2" t="s">
        <v>6</v>
      </c>
      <c r="B119" s="2"/>
      <c r="C119" s="13">
        <v>23</v>
      </c>
      <c r="D119" s="13">
        <v>24</v>
      </c>
      <c r="E119" s="13">
        <v>25</v>
      </c>
      <c r="F119" s="13">
        <v>26</v>
      </c>
      <c r="I119" s="16">
        <v>2017</v>
      </c>
      <c r="J119" s="49"/>
      <c r="K119" s="48"/>
      <c r="L119" s="48"/>
      <c r="M119" s="48"/>
      <c r="N119" s="48"/>
      <c r="O119" s="48"/>
    </row>
    <row r="120" spans="1:15" x14ac:dyDescent="0.25">
      <c r="A120" s="2"/>
      <c r="B120" s="2"/>
      <c r="C120" s="3" t="s">
        <v>219</v>
      </c>
      <c r="D120" s="3" t="s">
        <v>220</v>
      </c>
      <c r="E120" s="3" t="s">
        <v>221</v>
      </c>
      <c r="F120" s="3" t="s">
        <v>222</v>
      </c>
      <c r="I120" s="17">
        <v>2016</v>
      </c>
      <c r="J120" s="49"/>
      <c r="K120" s="48"/>
      <c r="L120" s="48"/>
      <c r="M120" s="48"/>
      <c r="N120" s="48"/>
      <c r="O120" s="48"/>
    </row>
    <row r="121" spans="1:15" x14ac:dyDescent="0.25">
      <c r="A121" s="4" t="s">
        <v>0</v>
      </c>
      <c r="B121" s="4"/>
      <c r="C121" s="5">
        <v>845</v>
      </c>
      <c r="D121" s="5">
        <f>C257</f>
        <v>717.36634000000004</v>
      </c>
      <c r="E121" s="5">
        <f>D257</f>
        <v>584.63302999999996</v>
      </c>
      <c r="F121" s="5">
        <f>E257</f>
        <v>449.95838999999989</v>
      </c>
      <c r="G121" s="1"/>
      <c r="H121" s="1"/>
      <c r="J121" s="49"/>
      <c r="K121" s="48"/>
      <c r="L121" s="48"/>
      <c r="M121" s="48"/>
      <c r="N121" s="48"/>
      <c r="O121" s="48"/>
    </row>
    <row r="122" spans="1:15" x14ac:dyDescent="0.25">
      <c r="A122" s="15" t="s">
        <v>1</v>
      </c>
      <c r="B122" s="15"/>
      <c r="C122" s="4"/>
      <c r="D122" s="4"/>
      <c r="E122" s="4"/>
      <c r="F122" s="4"/>
      <c r="G122" s="49"/>
      <c r="H122" s="49"/>
      <c r="I122" s="49"/>
      <c r="J122" s="49"/>
      <c r="K122" s="48"/>
      <c r="L122" s="48"/>
      <c r="M122" s="48"/>
      <c r="N122" s="48"/>
      <c r="O122" s="48"/>
    </row>
    <row r="123" spans="1:15" x14ac:dyDescent="0.25">
      <c r="A123" s="2" t="s">
        <v>2</v>
      </c>
      <c r="B123" s="2" t="s">
        <v>232</v>
      </c>
      <c r="C123" s="6"/>
      <c r="D123" s="6">
        <v>33</v>
      </c>
      <c r="E123" s="6"/>
      <c r="F123" s="6"/>
      <c r="G123" s="49"/>
      <c r="H123" s="49"/>
      <c r="I123" s="49"/>
      <c r="J123" s="49"/>
      <c r="K123" s="48"/>
      <c r="L123" s="48"/>
      <c r="M123" s="48"/>
      <c r="N123" s="48"/>
      <c r="O123" s="48"/>
    </row>
    <row r="124" spans="1:15" x14ac:dyDescent="0.25">
      <c r="A124" s="2" t="s">
        <v>39</v>
      </c>
      <c r="B124" s="2" t="s">
        <v>233</v>
      </c>
      <c r="C124" s="2"/>
      <c r="D124" s="2"/>
      <c r="E124" s="2"/>
      <c r="F124" s="2"/>
      <c r="G124" s="49"/>
      <c r="H124" s="49"/>
      <c r="I124" s="49"/>
      <c r="J124" s="49"/>
      <c r="K124" s="48"/>
      <c r="L124" s="48"/>
      <c r="M124" s="48"/>
      <c r="N124" s="48"/>
      <c r="O124" s="48"/>
    </row>
    <row r="125" spans="1:15" x14ac:dyDescent="0.25">
      <c r="A125" s="2" t="s">
        <v>3</v>
      </c>
      <c r="B125" s="2" t="s">
        <v>234</v>
      </c>
      <c r="C125" s="2"/>
      <c r="D125" s="2"/>
      <c r="E125" s="2"/>
      <c r="F125" s="2"/>
      <c r="G125" s="49"/>
      <c r="H125" s="49"/>
      <c r="I125" s="49"/>
      <c r="J125" s="49"/>
      <c r="K125" s="48"/>
      <c r="L125" s="48"/>
      <c r="M125" s="48"/>
      <c r="N125" s="48"/>
      <c r="O125" s="48"/>
    </row>
    <row r="126" spans="1:15" x14ac:dyDescent="0.25">
      <c r="A126" s="2" t="s">
        <v>4</v>
      </c>
      <c r="B126" s="2" t="s">
        <v>235</v>
      </c>
      <c r="C126" s="2"/>
      <c r="D126" s="2"/>
      <c r="E126" s="2"/>
      <c r="F126" s="2"/>
      <c r="G126" s="49"/>
      <c r="H126" s="49"/>
      <c r="I126" s="49"/>
      <c r="J126" s="49"/>
      <c r="K126" s="48"/>
      <c r="L126" s="48"/>
      <c r="M126" s="48"/>
      <c r="N126" s="48"/>
      <c r="O126" s="48"/>
    </row>
    <row r="127" spans="1:15" x14ac:dyDescent="0.25">
      <c r="A127" s="2" t="s">
        <v>32</v>
      </c>
      <c r="B127" s="2" t="s">
        <v>236</v>
      </c>
      <c r="C127" s="2"/>
      <c r="D127" s="2"/>
      <c r="E127" s="2"/>
      <c r="F127" s="2"/>
      <c r="G127" s="49"/>
      <c r="H127" s="49"/>
      <c r="I127" s="49"/>
      <c r="J127" s="49"/>
      <c r="K127" s="48"/>
      <c r="L127" s="48"/>
      <c r="M127" s="48"/>
      <c r="N127" s="48"/>
      <c r="O127" s="48"/>
    </row>
    <row r="128" spans="1:15" x14ac:dyDescent="0.25">
      <c r="A128" s="2" t="s">
        <v>74</v>
      </c>
      <c r="B128" s="2" t="s">
        <v>237</v>
      </c>
      <c r="C128" s="2"/>
      <c r="D128" s="14">
        <v>178.39561499999999</v>
      </c>
      <c r="E128" s="2"/>
      <c r="F128" s="2"/>
      <c r="G128" s="49"/>
      <c r="H128" s="49"/>
      <c r="I128" s="49"/>
      <c r="J128" s="49"/>
      <c r="K128" s="48"/>
      <c r="L128" s="48"/>
      <c r="M128" s="48"/>
      <c r="N128" s="48"/>
      <c r="O128" s="48"/>
    </row>
    <row r="129" spans="1:15" x14ac:dyDescent="0.25">
      <c r="A129" s="2" t="s">
        <v>217</v>
      </c>
      <c r="B129" s="2" t="s">
        <v>238</v>
      </c>
      <c r="C129" s="2"/>
      <c r="D129" s="2"/>
      <c r="E129" s="2"/>
      <c r="F129" s="2"/>
      <c r="G129" s="49"/>
      <c r="H129" s="49"/>
      <c r="I129" s="49"/>
      <c r="J129" s="49"/>
      <c r="K129" s="48"/>
      <c r="L129" s="48"/>
      <c r="M129" s="48"/>
      <c r="N129" s="48"/>
      <c r="O129" s="48"/>
    </row>
    <row r="130" spans="1:15" x14ac:dyDescent="0.25">
      <c r="A130" s="2" t="s">
        <v>99</v>
      </c>
      <c r="B130" s="2" t="s">
        <v>239</v>
      </c>
      <c r="C130" s="2"/>
      <c r="D130" s="2"/>
      <c r="E130" s="2"/>
      <c r="F130" s="2"/>
      <c r="G130" s="49"/>
      <c r="H130" s="49"/>
      <c r="I130" s="49"/>
      <c r="J130" s="49"/>
      <c r="K130" s="48"/>
      <c r="L130" s="48"/>
      <c r="M130" s="48"/>
      <c r="N130" s="48"/>
      <c r="O130" s="48"/>
    </row>
    <row r="131" spans="1:15" x14ac:dyDescent="0.25">
      <c r="A131" s="2" t="s">
        <v>59</v>
      </c>
      <c r="B131" s="2" t="s">
        <v>240</v>
      </c>
      <c r="C131" s="2"/>
      <c r="D131" s="2"/>
      <c r="E131" s="2"/>
      <c r="F131" s="6">
        <v>128.75700000000001</v>
      </c>
      <c r="G131" s="49"/>
      <c r="H131" s="49"/>
      <c r="I131" s="49"/>
    </row>
    <row r="132" spans="1:15" x14ac:dyDescent="0.25">
      <c r="A132" s="2" t="s">
        <v>33</v>
      </c>
      <c r="B132" s="2" t="s">
        <v>241</v>
      </c>
      <c r="C132" s="2"/>
      <c r="D132" s="2"/>
      <c r="E132" s="2"/>
      <c r="F132" s="2"/>
      <c r="G132" s="49"/>
      <c r="H132" s="49"/>
      <c r="I132" s="49"/>
    </row>
    <row r="133" spans="1:15" x14ac:dyDescent="0.25">
      <c r="A133" s="2" t="s">
        <v>214</v>
      </c>
      <c r="B133" s="2" t="s">
        <v>242</v>
      </c>
      <c r="C133" s="6">
        <v>197</v>
      </c>
      <c r="D133" s="6">
        <v>197</v>
      </c>
      <c r="E133" s="6">
        <v>199.24770000000001</v>
      </c>
      <c r="F133" s="6">
        <v>197</v>
      </c>
      <c r="G133" s="49"/>
      <c r="H133" s="49"/>
      <c r="I133" s="49"/>
    </row>
    <row r="134" spans="1:15" x14ac:dyDescent="0.25">
      <c r="A134" s="2" t="s">
        <v>96</v>
      </c>
      <c r="B134" s="2" t="s">
        <v>243</v>
      </c>
      <c r="C134" s="2"/>
      <c r="D134" s="2"/>
      <c r="E134" s="2"/>
      <c r="F134" s="2"/>
      <c r="G134" s="49"/>
      <c r="H134" s="49"/>
      <c r="I134" s="49"/>
    </row>
    <row r="135" spans="1:15" x14ac:dyDescent="0.25">
      <c r="A135" s="2" t="s">
        <v>97</v>
      </c>
      <c r="B135" s="2" t="s">
        <v>244</v>
      </c>
      <c r="C135" s="2"/>
      <c r="D135" s="2"/>
      <c r="E135" s="2"/>
      <c r="F135" s="2"/>
      <c r="G135" s="49"/>
      <c r="H135" s="49"/>
      <c r="I135" s="49"/>
      <c r="J135" s="49"/>
      <c r="K135" s="48"/>
      <c r="L135" s="48"/>
      <c r="M135" s="48"/>
      <c r="N135" s="48"/>
      <c r="O135" s="48"/>
    </row>
    <row r="136" spans="1:15" x14ac:dyDescent="0.25">
      <c r="A136" s="2" t="s">
        <v>231</v>
      </c>
      <c r="B136" s="2" t="s">
        <v>245</v>
      </c>
      <c r="C136" s="2"/>
      <c r="D136" s="14">
        <f>10.088+8</f>
        <v>18.088000000000001</v>
      </c>
      <c r="E136" s="2"/>
      <c r="F136" s="2"/>
      <c r="G136" s="49"/>
      <c r="H136" s="49"/>
      <c r="I136" s="49"/>
      <c r="J136" s="49"/>
      <c r="K136" s="48"/>
      <c r="L136" s="48"/>
      <c r="M136" s="48"/>
      <c r="N136" s="48"/>
      <c r="O136" s="48"/>
    </row>
    <row r="137" spans="1:15" x14ac:dyDescent="0.25">
      <c r="A137" s="2" t="s">
        <v>191</v>
      </c>
      <c r="B137" s="2" t="s">
        <v>246</v>
      </c>
      <c r="C137" s="6"/>
      <c r="D137" s="6"/>
      <c r="E137" s="2"/>
      <c r="F137" s="2"/>
      <c r="G137" s="49"/>
      <c r="H137" s="49"/>
      <c r="I137" s="49"/>
      <c r="J137" s="49"/>
      <c r="K137" s="48"/>
      <c r="L137" s="48"/>
      <c r="M137" s="48"/>
      <c r="N137" s="48"/>
      <c r="O137" s="48"/>
    </row>
    <row r="138" spans="1:15" x14ac:dyDescent="0.25">
      <c r="A138" s="2"/>
      <c r="B138" s="2"/>
      <c r="C138" s="2"/>
      <c r="D138" s="2"/>
      <c r="E138" s="2"/>
      <c r="F138" s="2"/>
      <c r="G138" s="49"/>
      <c r="H138" s="49"/>
      <c r="I138" s="49"/>
      <c r="J138" s="49"/>
      <c r="K138" s="48"/>
      <c r="L138" s="48"/>
      <c r="M138" s="48"/>
      <c r="N138" s="48"/>
      <c r="O138" s="48"/>
    </row>
    <row r="139" spans="1:15" x14ac:dyDescent="0.25">
      <c r="A139" s="7" t="s">
        <v>7</v>
      </c>
      <c r="B139" s="7"/>
      <c r="C139" s="8">
        <f>SUM(C123:C138)</f>
        <v>197</v>
      </c>
      <c r="D139" s="8">
        <f>SUM(D123:D138)</f>
        <v>426.48361500000004</v>
      </c>
      <c r="E139" s="8">
        <f>SUM(E123:E138)</f>
        <v>199.24770000000001</v>
      </c>
      <c r="F139" s="8">
        <f>SUM(F123:F138)</f>
        <v>325.75700000000001</v>
      </c>
      <c r="G139" s="49"/>
      <c r="H139" s="49"/>
      <c r="I139" s="49"/>
      <c r="J139" s="49"/>
      <c r="K139" s="48"/>
      <c r="L139" s="48"/>
      <c r="M139" s="48"/>
      <c r="N139" s="48"/>
      <c r="O139" s="48"/>
    </row>
    <row r="140" spans="1:15" x14ac:dyDescent="0.25">
      <c r="A140" s="15" t="s">
        <v>5</v>
      </c>
      <c r="B140" s="15"/>
      <c r="C140" s="4"/>
      <c r="D140" s="4"/>
      <c r="E140" s="4"/>
      <c r="F140" s="4"/>
      <c r="G140" s="49"/>
      <c r="H140" s="49"/>
      <c r="I140" s="49"/>
      <c r="J140" s="49"/>
      <c r="K140" s="48"/>
      <c r="L140" s="48"/>
      <c r="M140" s="48"/>
      <c r="N140" s="48"/>
      <c r="O140" s="48"/>
    </row>
    <row r="141" spans="1:15" x14ac:dyDescent="0.25">
      <c r="A141" s="2" t="s">
        <v>22</v>
      </c>
      <c r="B141" s="2" t="s">
        <v>247</v>
      </c>
      <c r="C141" s="110">
        <v>66.281490000000005</v>
      </c>
      <c r="D141" s="110"/>
      <c r="E141" s="110"/>
      <c r="F141" s="110"/>
      <c r="G141" s="49"/>
      <c r="H141" s="49"/>
      <c r="I141" s="49"/>
    </row>
    <row r="142" spans="1:15" x14ac:dyDescent="0.25">
      <c r="A142" s="85" t="s">
        <v>103</v>
      </c>
      <c r="B142" s="85" t="s">
        <v>248</v>
      </c>
      <c r="C142" s="110"/>
      <c r="D142" s="110">
        <f>49.831+198.07142-4</f>
        <v>243.90242000000001</v>
      </c>
      <c r="E142" s="110"/>
      <c r="F142" s="110">
        <v>45.637</v>
      </c>
      <c r="G142" s="49"/>
      <c r="H142" s="49"/>
      <c r="I142" s="49"/>
    </row>
    <row r="143" spans="1:15" x14ac:dyDescent="0.25">
      <c r="A143" s="85" t="s">
        <v>224</v>
      </c>
      <c r="B143" s="85" t="s">
        <v>249</v>
      </c>
      <c r="C143" s="110"/>
      <c r="E143" s="110">
        <v>166.21899999999999</v>
      </c>
      <c r="F143" s="110"/>
      <c r="G143" s="49"/>
      <c r="H143" s="49"/>
      <c r="I143" s="49"/>
    </row>
    <row r="144" spans="1:15" x14ac:dyDescent="0.25">
      <c r="A144" s="61" t="s">
        <v>147</v>
      </c>
      <c r="B144" s="61" t="s">
        <v>250</v>
      </c>
      <c r="C144" s="110"/>
      <c r="D144" s="110"/>
      <c r="E144" s="110"/>
      <c r="F144" s="110">
        <v>167.61799999999999</v>
      </c>
      <c r="G144" s="68"/>
      <c r="H144" s="68"/>
      <c r="I144" s="69"/>
      <c r="J144" s="49"/>
      <c r="K144" s="48"/>
      <c r="L144" s="48"/>
      <c r="M144" s="48"/>
      <c r="N144" s="48"/>
      <c r="O144" s="48"/>
    </row>
    <row r="145" spans="1:15" x14ac:dyDescent="0.25">
      <c r="A145" s="61" t="s">
        <v>152</v>
      </c>
      <c r="B145" s="61" t="s">
        <v>251</v>
      </c>
      <c r="C145" s="110"/>
      <c r="D145" s="110"/>
      <c r="E145" s="110"/>
      <c r="F145" s="110">
        <v>15.651999999999999</v>
      </c>
      <c r="G145" s="106">
        <f>SUM(C144:F145)</f>
        <v>183.26999999999998</v>
      </c>
      <c r="H145" s="71" t="s">
        <v>156</v>
      </c>
      <c r="I145" s="72"/>
      <c r="J145" s="49"/>
      <c r="K145" s="48"/>
      <c r="L145" s="48"/>
      <c r="M145" s="48"/>
      <c r="N145" s="48"/>
      <c r="O145" s="48"/>
    </row>
    <row r="146" spans="1:15" x14ac:dyDescent="0.25">
      <c r="A146" s="9" t="s">
        <v>29</v>
      </c>
      <c r="B146" s="9" t="s">
        <v>252</v>
      </c>
      <c r="C146" s="110"/>
      <c r="D146" s="110"/>
      <c r="E146" s="110">
        <v>69.058080000000004</v>
      </c>
      <c r="F146" s="110"/>
      <c r="G146" s="49"/>
      <c r="H146" s="49"/>
      <c r="I146" s="49"/>
      <c r="J146" s="49"/>
      <c r="K146" s="48"/>
      <c r="L146" s="48"/>
      <c r="M146" s="48"/>
      <c r="N146" s="48"/>
      <c r="O146" s="48"/>
    </row>
    <row r="147" spans="1:15" x14ac:dyDescent="0.25">
      <c r="A147" s="10" t="s">
        <v>189</v>
      </c>
      <c r="B147" s="10" t="s">
        <v>253</v>
      </c>
      <c r="C147" s="110"/>
      <c r="D147" s="110">
        <v>57.287999999999997</v>
      </c>
      <c r="E147" s="110"/>
      <c r="F147" s="110"/>
      <c r="G147" s="49"/>
      <c r="H147" s="49"/>
      <c r="I147" s="49"/>
      <c r="J147" s="49"/>
      <c r="K147" s="48"/>
      <c r="L147" s="48"/>
      <c r="M147" s="48"/>
      <c r="N147" s="48"/>
      <c r="O147" s="48"/>
    </row>
    <row r="148" spans="1:15" x14ac:dyDescent="0.25">
      <c r="A148" s="10" t="s">
        <v>10</v>
      </c>
      <c r="B148" s="10" t="s">
        <v>254</v>
      </c>
      <c r="C148" s="110">
        <v>20</v>
      </c>
      <c r="D148" s="110">
        <v>10</v>
      </c>
      <c r="E148" s="110">
        <v>10</v>
      </c>
      <c r="F148" s="110">
        <v>15</v>
      </c>
      <c r="G148" s="49"/>
      <c r="H148" s="49"/>
      <c r="I148" s="49"/>
      <c r="J148" s="49"/>
      <c r="K148" s="48"/>
      <c r="L148" s="48"/>
      <c r="M148" s="48"/>
      <c r="N148" s="48"/>
      <c r="O148" s="48"/>
    </row>
    <row r="149" spans="1:15" x14ac:dyDescent="0.25">
      <c r="A149" s="2" t="s">
        <v>73</v>
      </c>
      <c r="B149" s="2" t="s">
        <v>255</v>
      </c>
      <c r="C149" s="110"/>
      <c r="D149" s="110">
        <v>2.9680200000000001</v>
      </c>
      <c r="E149" s="110">
        <v>4.8177199999999996</v>
      </c>
      <c r="F149" s="110">
        <v>7.3144099999999996</v>
      </c>
      <c r="G149" s="49"/>
      <c r="H149" s="49"/>
      <c r="I149" s="49"/>
      <c r="J149" s="49"/>
      <c r="K149" s="48"/>
      <c r="L149" s="48"/>
      <c r="M149" s="48"/>
      <c r="N149" s="48"/>
      <c r="O149" s="48"/>
    </row>
    <row r="150" spans="1:15" x14ac:dyDescent="0.25">
      <c r="A150" s="2" t="s">
        <v>52</v>
      </c>
      <c r="B150" s="2" t="s">
        <v>256</v>
      </c>
      <c r="C150" s="110"/>
      <c r="D150" s="110"/>
      <c r="E150" s="110"/>
      <c r="F150" s="110">
        <v>2.9049999999999998</v>
      </c>
      <c r="G150" s="49"/>
      <c r="H150" s="49"/>
      <c r="I150" s="49"/>
      <c r="J150" s="49"/>
      <c r="K150" s="48"/>
      <c r="L150" s="48"/>
      <c r="M150" s="48"/>
      <c r="N150" s="48"/>
      <c r="O150" s="48"/>
    </row>
    <row r="151" spans="1:15" x14ac:dyDescent="0.25">
      <c r="A151" s="10" t="s">
        <v>12</v>
      </c>
      <c r="B151" s="10" t="s">
        <v>257</v>
      </c>
      <c r="C151" s="110"/>
      <c r="D151" s="110">
        <v>2.1678799999999998</v>
      </c>
      <c r="E151" s="110"/>
      <c r="F151" s="110">
        <v>2.2559999999999998</v>
      </c>
      <c r="G151" s="49"/>
      <c r="H151" s="49"/>
      <c r="I151" s="49"/>
      <c r="J151" s="49"/>
      <c r="K151" s="48"/>
      <c r="L151" s="48"/>
      <c r="M151" s="48"/>
      <c r="N151" s="48"/>
      <c r="O151" s="48"/>
    </row>
    <row r="152" spans="1:15" x14ac:dyDescent="0.25">
      <c r="A152" s="59" t="s">
        <v>145</v>
      </c>
      <c r="B152" s="59" t="s">
        <v>258</v>
      </c>
      <c r="C152" s="110"/>
      <c r="D152" s="110"/>
      <c r="E152" s="110"/>
      <c r="F152" s="110">
        <v>4.21</v>
      </c>
      <c r="G152" s="68"/>
      <c r="H152" s="68"/>
      <c r="I152" s="69"/>
      <c r="J152" s="49"/>
      <c r="K152" s="48"/>
      <c r="L152" s="48"/>
      <c r="M152" s="48"/>
      <c r="N152" s="48"/>
      <c r="O152" s="48"/>
    </row>
    <row r="153" spans="1:15" x14ac:dyDescent="0.25">
      <c r="A153" s="59" t="s">
        <v>146</v>
      </c>
      <c r="B153" s="59" t="s">
        <v>259</v>
      </c>
      <c r="C153" s="110"/>
      <c r="D153" s="110"/>
      <c r="E153" s="110"/>
      <c r="F153" s="110">
        <v>58.325000000000003</v>
      </c>
      <c r="G153" s="106">
        <f>SUM(C152:F153)</f>
        <v>62.535000000000004</v>
      </c>
      <c r="H153" s="71" t="s">
        <v>155</v>
      </c>
      <c r="I153" s="72"/>
      <c r="J153" s="49"/>
      <c r="K153" s="48"/>
      <c r="L153" s="48"/>
      <c r="M153" s="48"/>
      <c r="N153" s="48"/>
      <c r="O153" s="48"/>
    </row>
    <row r="154" spans="1:15" x14ac:dyDescent="0.25">
      <c r="A154" s="2" t="s">
        <v>24</v>
      </c>
      <c r="B154" s="2" t="s">
        <v>260</v>
      </c>
      <c r="C154" s="110"/>
      <c r="D154" s="110">
        <f>19.365435+0.833</f>
        <v>20.198435</v>
      </c>
      <c r="E154" s="110"/>
      <c r="F154" s="110">
        <v>19.231694999999998</v>
      </c>
      <c r="G154" s="64"/>
      <c r="H154" s="64"/>
      <c r="I154" s="64"/>
      <c r="J154" s="49"/>
      <c r="K154" s="48"/>
      <c r="L154" s="48"/>
      <c r="M154" s="48"/>
      <c r="N154" s="48"/>
      <c r="O154" s="48"/>
    </row>
    <row r="155" spans="1:15" x14ac:dyDescent="0.25">
      <c r="A155" s="2" t="s">
        <v>68</v>
      </c>
      <c r="B155" s="2" t="s">
        <v>261</v>
      </c>
      <c r="C155" s="110"/>
      <c r="D155" s="110">
        <v>5.23665</v>
      </c>
      <c r="E155" s="110"/>
      <c r="F155" s="110"/>
      <c r="G155" s="64"/>
      <c r="H155" s="64"/>
      <c r="I155" s="64"/>
      <c r="J155" s="49"/>
      <c r="K155" s="48"/>
      <c r="L155" s="48"/>
      <c r="M155" s="48"/>
      <c r="N155" s="48"/>
      <c r="O155" s="48"/>
    </row>
    <row r="156" spans="1:15" x14ac:dyDescent="0.25">
      <c r="A156" s="59" t="s">
        <v>148</v>
      </c>
      <c r="B156" s="59" t="s">
        <v>262</v>
      </c>
      <c r="C156" s="110"/>
      <c r="D156" s="110"/>
      <c r="E156" s="110"/>
      <c r="F156" s="110"/>
      <c r="G156" s="68"/>
      <c r="H156" s="68"/>
      <c r="I156" s="69"/>
      <c r="J156" s="49"/>
      <c r="K156" s="48"/>
      <c r="L156" s="48"/>
      <c r="M156" s="48"/>
      <c r="N156" s="48"/>
      <c r="O156" s="48"/>
    </row>
    <row r="157" spans="1:15" x14ac:dyDescent="0.25">
      <c r="A157" s="59" t="s">
        <v>149</v>
      </c>
      <c r="B157" s="59" t="s">
        <v>263</v>
      </c>
      <c r="C157" s="110"/>
      <c r="D157" s="110"/>
      <c r="E157" s="110"/>
      <c r="F157" s="110"/>
      <c r="G157" s="106">
        <f>SUM(C156:F157)</f>
        <v>0</v>
      </c>
      <c r="H157" s="71" t="s">
        <v>157</v>
      </c>
      <c r="I157" s="72"/>
      <c r="J157" s="49"/>
      <c r="K157" s="48"/>
      <c r="L157" s="48"/>
      <c r="M157" s="48"/>
      <c r="N157" s="48"/>
      <c r="O157" s="48"/>
    </row>
    <row r="158" spans="1:15" x14ac:dyDescent="0.25">
      <c r="A158" s="59" t="s">
        <v>151</v>
      </c>
      <c r="B158" s="59" t="s">
        <v>264</v>
      </c>
      <c r="C158" s="110"/>
      <c r="D158" s="110"/>
      <c r="E158" s="110"/>
      <c r="F158" s="110"/>
      <c r="G158" s="68"/>
      <c r="H158" s="68"/>
      <c r="I158" s="69"/>
      <c r="J158" s="49"/>
      <c r="K158" s="48"/>
      <c r="L158" s="48"/>
      <c r="M158" s="48"/>
      <c r="N158" s="48"/>
      <c r="O158" s="48"/>
    </row>
    <row r="159" spans="1:15" x14ac:dyDescent="0.25">
      <c r="A159" s="59" t="s">
        <v>150</v>
      </c>
      <c r="B159" s="59" t="s">
        <v>265</v>
      </c>
      <c r="C159" s="110">
        <f>2.45914+0.50623+0.72279</f>
        <v>3.6881599999999999</v>
      </c>
      <c r="D159" s="110"/>
      <c r="E159" s="110">
        <v>0.36652000000000001</v>
      </c>
      <c r="F159" s="110"/>
      <c r="G159" s="106">
        <f>SUM(C158:F159)</f>
        <v>4.0546800000000003</v>
      </c>
      <c r="H159" s="71" t="s">
        <v>158</v>
      </c>
      <c r="I159" s="72"/>
      <c r="J159" s="49"/>
      <c r="K159" s="48"/>
      <c r="L159" s="48"/>
      <c r="M159" s="48"/>
      <c r="N159" s="48"/>
      <c r="O159" s="48"/>
    </row>
    <row r="160" spans="1:15" x14ac:dyDescent="0.25">
      <c r="A160" s="2" t="s">
        <v>94</v>
      </c>
      <c r="B160" s="2" t="s">
        <v>266</v>
      </c>
      <c r="C160" s="110">
        <v>1.51258</v>
      </c>
      <c r="D160" s="110"/>
      <c r="E160" s="110">
        <v>1.51258</v>
      </c>
      <c r="F160" s="110"/>
      <c r="G160" s="49"/>
      <c r="H160" s="49"/>
      <c r="I160" s="49"/>
      <c r="J160" s="49"/>
      <c r="K160" s="48"/>
      <c r="L160" s="48"/>
      <c r="M160" s="48"/>
      <c r="N160" s="48"/>
      <c r="O160" s="48"/>
    </row>
    <row r="161" spans="1:15" x14ac:dyDescent="0.25">
      <c r="A161" s="100" t="s">
        <v>226</v>
      </c>
      <c r="B161" s="100" t="s">
        <v>267</v>
      </c>
      <c r="C161" s="110"/>
      <c r="D161" s="110"/>
      <c r="E161" s="110"/>
      <c r="F161" s="110"/>
      <c r="G161" s="49"/>
      <c r="H161" s="49"/>
      <c r="I161" s="49"/>
      <c r="J161" s="49"/>
      <c r="K161" s="48"/>
      <c r="L161" s="48"/>
      <c r="M161" s="48"/>
      <c r="N161" s="48"/>
      <c r="O161" s="48"/>
    </row>
    <row r="162" spans="1:15" x14ac:dyDescent="0.25">
      <c r="A162" s="100" t="s">
        <v>193</v>
      </c>
      <c r="B162" s="100" t="s">
        <v>268</v>
      </c>
      <c r="C162" s="110"/>
      <c r="D162" s="110"/>
      <c r="E162" s="110"/>
      <c r="F162" s="110">
        <v>18.366</v>
      </c>
      <c r="G162" s="49"/>
      <c r="H162" s="49"/>
      <c r="I162" s="49"/>
      <c r="J162" s="49"/>
      <c r="K162" s="48"/>
      <c r="L162" s="48"/>
      <c r="M162" s="48"/>
      <c r="N162" s="48"/>
      <c r="O162" s="48"/>
    </row>
    <row r="163" spans="1:15" x14ac:dyDescent="0.25">
      <c r="A163" s="2" t="s">
        <v>98</v>
      </c>
      <c r="B163" s="2" t="s">
        <v>269</v>
      </c>
      <c r="C163" s="110"/>
      <c r="D163" s="110">
        <v>4</v>
      </c>
      <c r="E163" s="110"/>
      <c r="F163" s="110"/>
      <c r="G163" s="49"/>
      <c r="H163" s="49"/>
      <c r="I163" s="49"/>
      <c r="J163" s="49"/>
      <c r="K163" s="48"/>
      <c r="L163" s="48"/>
      <c r="M163" s="48"/>
      <c r="N163" s="48"/>
      <c r="O163" s="48"/>
    </row>
    <row r="164" spans="1:15" x14ac:dyDescent="0.25">
      <c r="A164" s="2" t="s">
        <v>42</v>
      </c>
      <c r="B164" s="2" t="s">
        <v>270</v>
      </c>
      <c r="C164" s="110">
        <v>0.59531999999999996</v>
      </c>
      <c r="D164" s="110"/>
      <c r="E164" s="110"/>
      <c r="F164" s="110"/>
      <c r="G164" s="49"/>
      <c r="H164" s="49"/>
      <c r="I164" s="49"/>
      <c r="J164" s="49"/>
      <c r="K164" s="48"/>
      <c r="L164" s="48"/>
      <c r="M164" s="48"/>
      <c r="N164" s="48"/>
      <c r="O164" s="48"/>
    </row>
    <row r="165" spans="1:15" x14ac:dyDescent="0.25">
      <c r="A165" s="2" t="s">
        <v>76</v>
      </c>
      <c r="B165" s="2" t="s">
        <v>271</v>
      </c>
      <c r="C165" s="110"/>
      <c r="D165" s="110"/>
      <c r="E165" s="110"/>
      <c r="F165" s="110">
        <v>0.31361</v>
      </c>
      <c r="G165" s="49"/>
      <c r="H165" s="49"/>
      <c r="I165" s="49"/>
      <c r="J165" s="49"/>
      <c r="K165" s="48"/>
      <c r="L165" s="48"/>
      <c r="M165" s="48"/>
      <c r="N165" s="48"/>
      <c r="O165" s="48"/>
    </row>
    <row r="166" spans="1:15" x14ac:dyDescent="0.25">
      <c r="A166" s="2" t="s">
        <v>30</v>
      </c>
      <c r="B166" s="120" t="s">
        <v>272</v>
      </c>
      <c r="D166" s="110"/>
      <c r="E166" s="110">
        <f>30+22.91517</f>
        <v>52.915170000000003</v>
      </c>
      <c r="F166" s="110">
        <v>37.739890000000003</v>
      </c>
      <c r="G166" s="49"/>
      <c r="H166" s="49"/>
      <c r="I166" s="49"/>
      <c r="J166" s="49"/>
      <c r="K166" s="48"/>
      <c r="L166" s="48"/>
      <c r="M166" s="48"/>
      <c r="N166" s="48"/>
      <c r="O166" s="48"/>
    </row>
    <row r="167" spans="1:15" x14ac:dyDescent="0.25">
      <c r="A167" s="9" t="s">
        <v>15</v>
      </c>
      <c r="B167" s="9" t="s">
        <v>273</v>
      </c>
      <c r="C167" s="110"/>
      <c r="D167" s="110">
        <f>0.14626+150.25426</f>
        <v>150.40052</v>
      </c>
      <c r="E167" s="110"/>
      <c r="F167" s="110"/>
      <c r="G167" s="49"/>
      <c r="H167" s="49"/>
      <c r="I167" s="49"/>
      <c r="J167" s="49"/>
      <c r="K167" s="48"/>
      <c r="L167" s="48"/>
      <c r="M167" s="48"/>
      <c r="N167" s="48"/>
      <c r="O167" s="48"/>
    </row>
    <row r="168" spans="1:15" x14ac:dyDescent="0.25">
      <c r="A168" s="2" t="s">
        <v>34</v>
      </c>
      <c r="B168" s="2" t="s">
        <v>274</v>
      </c>
      <c r="C168" s="110">
        <v>3</v>
      </c>
      <c r="E168" s="110"/>
      <c r="F168" s="110">
        <f>3</f>
        <v>3</v>
      </c>
      <c r="G168" s="49"/>
      <c r="H168" s="49"/>
      <c r="I168" s="49"/>
      <c r="J168" s="49"/>
      <c r="K168" s="48"/>
      <c r="L168" s="48"/>
      <c r="M168" s="48"/>
      <c r="N168" s="48"/>
      <c r="O168" s="48"/>
    </row>
    <row r="169" spans="1:15" x14ac:dyDescent="0.25">
      <c r="A169" s="10" t="s">
        <v>13</v>
      </c>
      <c r="B169" s="10"/>
      <c r="C169" s="110"/>
      <c r="D169" s="110"/>
      <c r="E169" s="110">
        <v>6.4232699999999996</v>
      </c>
      <c r="F169" s="110"/>
      <c r="G169" s="49"/>
      <c r="H169" s="49"/>
      <c r="I169" s="49"/>
      <c r="J169" s="49"/>
      <c r="K169" s="48"/>
      <c r="L169" s="48"/>
      <c r="M169" s="48"/>
      <c r="N169" s="48"/>
      <c r="O169" s="48"/>
    </row>
    <row r="170" spans="1:15" x14ac:dyDescent="0.25">
      <c r="A170" s="2" t="s">
        <v>41</v>
      </c>
      <c r="B170" s="2" t="s">
        <v>275</v>
      </c>
      <c r="C170" s="110">
        <v>1.8413600000000001</v>
      </c>
      <c r="D170" s="110"/>
      <c r="E170" s="110"/>
      <c r="F170" s="110"/>
      <c r="G170" s="49"/>
      <c r="H170" s="49"/>
      <c r="I170" s="49"/>
      <c r="J170" s="49"/>
      <c r="K170" s="48"/>
      <c r="L170" s="48"/>
      <c r="M170" s="48"/>
      <c r="N170" s="48"/>
      <c r="O170" s="48"/>
    </row>
    <row r="171" spans="1:15" x14ac:dyDescent="0.25">
      <c r="A171" s="2" t="s">
        <v>36</v>
      </c>
      <c r="B171" s="2" t="s">
        <v>276</v>
      </c>
      <c r="C171" s="110"/>
      <c r="D171" s="110">
        <v>2.17957</v>
      </c>
      <c r="E171" s="110"/>
      <c r="F171" s="110"/>
      <c r="G171" s="49"/>
      <c r="H171" s="49"/>
      <c r="I171" s="49"/>
      <c r="J171" s="49"/>
      <c r="K171" s="48"/>
      <c r="L171" s="48"/>
      <c r="M171" s="48"/>
      <c r="N171" s="48"/>
      <c r="O171" s="48"/>
    </row>
    <row r="172" spans="1:15" s="1" customFormat="1" x14ac:dyDescent="0.25">
      <c r="A172" s="2" t="s">
        <v>54</v>
      </c>
      <c r="B172" s="2" t="s">
        <v>277</v>
      </c>
      <c r="C172" s="110">
        <f>0.39522+2.74343</f>
        <v>3.1386500000000002</v>
      </c>
      <c r="D172" s="111"/>
      <c r="E172" s="110"/>
      <c r="F172" s="110">
        <v>9.1823099999999993</v>
      </c>
      <c r="G172" s="49"/>
      <c r="H172" s="49"/>
      <c r="I172" s="49"/>
      <c r="J172" s="49"/>
      <c r="K172" s="48"/>
      <c r="L172" s="48"/>
      <c r="M172" s="48"/>
      <c r="N172" s="48"/>
      <c r="O172" s="48"/>
    </row>
    <row r="173" spans="1:15" x14ac:dyDescent="0.25">
      <c r="A173" s="2" t="s">
        <v>23</v>
      </c>
      <c r="B173" s="2" t="s">
        <v>278</v>
      </c>
      <c r="C173" s="110"/>
      <c r="E173" s="110"/>
      <c r="F173" s="110"/>
      <c r="G173" s="49"/>
      <c r="H173" s="49"/>
      <c r="I173" s="49"/>
    </row>
    <row r="174" spans="1:15" s="1" customFormat="1" x14ac:dyDescent="0.25">
      <c r="A174" s="2" t="s">
        <v>218</v>
      </c>
      <c r="B174" s="2" t="s">
        <v>279</v>
      </c>
      <c r="C174" s="110"/>
      <c r="D174" s="110"/>
      <c r="E174" s="110"/>
      <c r="F174" s="111"/>
      <c r="G174" s="49"/>
      <c r="H174" s="49"/>
      <c r="I174" s="49"/>
      <c r="J174" s="49"/>
      <c r="K174" s="48"/>
      <c r="L174" s="48"/>
      <c r="M174" s="48"/>
      <c r="N174" s="48"/>
      <c r="O174" s="48"/>
    </row>
    <row r="175" spans="1:15" x14ac:dyDescent="0.25">
      <c r="A175" s="2" t="s">
        <v>209</v>
      </c>
      <c r="B175" s="2" t="s">
        <v>280</v>
      </c>
      <c r="C175" s="110"/>
      <c r="D175" s="110"/>
      <c r="E175" s="110"/>
      <c r="F175" s="110"/>
      <c r="G175" s="49"/>
      <c r="H175" s="49"/>
      <c r="I175" s="49"/>
    </row>
    <row r="176" spans="1:15" x14ac:dyDescent="0.25">
      <c r="A176" s="2" t="s">
        <v>208</v>
      </c>
      <c r="B176" s="2" t="s">
        <v>281</v>
      </c>
      <c r="C176" s="110"/>
      <c r="D176" s="110"/>
      <c r="E176" s="110"/>
      <c r="F176" s="110"/>
      <c r="G176" s="49"/>
      <c r="H176" s="49"/>
      <c r="I176" s="49"/>
    </row>
    <row r="177" spans="1:15" x14ac:dyDescent="0.25">
      <c r="A177" s="2" t="s">
        <v>183</v>
      </c>
      <c r="B177" s="2" t="s">
        <v>282</v>
      </c>
      <c r="C177" s="110"/>
      <c r="D177" s="110"/>
      <c r="E177" s="110"/>
      <c r="F177" s="110"/>
      <c r="G177" s="49"/>
      <c r="H177" s="49"/>
      <c r="I177" s="49"/>
    </row>
    <row r="178" spans="1:15" x14ac:dyDescent="0.25">
      <c r="A178" s="2" t="s">
        <v>211</v>
      </c>
      <c r="B178" s="2" t="s">
        <v>283</v>
      </c>
      <c r="C178" s="2"/>
      <c r="E178" s="110">
        <v>22.61</v>
      </c>
      <c r="F178" s="110"/>
      <c r="G178" s="49"/>
      <c r="H178" s="49"/>
      <c r="I178" s="49"/>
      <c r="J178" s="49"/>
      <c r="K178" s="48"/>
      <c r="L178" s="48"/>
      <c r="M178" s="48"/>
      <c r="N178" s="48"/>
      <c r="O178" s="48"/>
    </row>
    <row r="179" spans="1:15" x14ac:dyDescent="0.25">
      <c r="A179" s="112" t="s">
        <v>228</v>
      </c>
      <c r="B179" s="112" t="s">
        <v>284</v>
      </c>
      <c r="C179" s="2"/>
      <c r="D179" s="110">
        <f>12+2.38</f>
        <v>14.379999999999999</v>
      </c>
      <c r="E179" s="110"/>
      <c r="F179" s="110"/>
      <c r="G179" s="49"/>
      <c r="H179" s="49"/>
      <c r="I179" s="49"/>
      <c r="J179" s="49"/>
      <c r="K179" s="48"/>
      <c r="L179" s="48"/>
      <c r="M179" s="48"/>
      <c r="N179" s="48"/>
      <c r="O179" s="48"/>
    </row>
    <row r="180" spans="1:15" x14ac:dyDescent="0.25">
      <c r="A180" s="85" t="s">
        <v>182</v>
      </c>
      <c r="B180" s="85" t="s">
        <v>285</v>
      </c>
      <c r="C180" s="110">
        <f>47.25+153</f>
        <v>200.25</v>
      </c>
      <c r="D180" s="110"/>
      <c r="E180" s="110"/>
      <c r="F180" s="110"/>
      <c r="G180" s="49"/>
      <c r="H180" s="49"/>
      <c r="I180" s="49"/>
    </row>
    <row r="181" spans="1:15" x14ac:dyDescent="0.25">
      <c r="A181" s="2" t="s">
        <v>223</v>
      </c>
      <c r="B181" s="2" t="s">
        <v>286</v>
      </c>
      <c r="C181" s="110">
        <v>23.408999999999999</v>
      </c>
      <c r="D181" s="110"/>
      <c r="E181" s="110"/>
      <c r="F181" s="110"/>
      <c r="G181" s="49"/>
      <c r="H181" s="49"/>
      <c r="I181" s="49"/>
    </row>
    <row r="182" spans="1:15" x14ac:dyDescent="0.25">
      <c r="A182" s="2" t="s">
        <v>225</v>
      </c>
      <c r="B182" s="2" t="s">
        <v>287</v>
      </c>
      <c r="C182" s="110">
        <v>0.91710000000000003</v>
      </c>
      <c r="D182" s="110"/>
      <c r="E182" s="110"/>
      <c r="F182" s="110"/>
      <c r="G182" s="49"/>
      <c r="H182" s="49"/>
      <c r="I182" s="49"/>
    </row>
    <row r="183" spans="1:15" x14ac:dyDescent="0.25">
      <c r="A183" s="2" t="s">
        <v>227</v>
      </c>
      <c r="B183" s="2" t="s">
        <v>288</v>
      </c>
      <c r="C183" s="86"/>
      <c r="D183" s="86">
        <v>46.495429999999999</v>
      </c>
      <c r="E183" s="86"/>
      <c r="F183" s="2"/>
      <c r="G183" s="49"/>
      <c r="H183" s="49"/>
      <c r="I183" s="49"/>
    </row>
    <row r="184" spans="1:15" x14ac:dyDescent="0.25">
      <c r="A184" s="2" t="s">
        <v>343</v>
      </c>
      <c r="B184" s="2"/>
      <c r="C184" s="86"/>
      <c r="D184" s="86"/>
      <c r="E184" s="86"/>
      <c r="F184" s="6">
        <v>3.2130000000000001</v>
      </c>
      <c r="G184" s="49"/>
      <c r="H184" s="49"/>
      <c r="I184" s="49"/>
    </row>
    <row r="185" spans="1:15" x14ac:dyDescent="0.25">
      <c r="A185" s="2" t="s">
        <v>190</v>
      </c>
      <c r="B185" s="2" t="s">
        <v>289</v>
      </c>
      <c r="C185" s="2"/>
      <c r="D185" s="86"/>
      <c r="E185" s="2"/>
      <c r="F185" s="6">
        <v>0</v>
      </c>
      <c r="G185" s="49"/>
      <c r="H185" s="49"/>
      <c r="I185" s="49"/>
    </row>
    <row r="186" spans="1:15" hidden="1" x14ac:dyDescent="0.25">
      <c r="A186" s="2" t="s">
        <v>202</v>
      </c>
      <c r="B186" s="2" t="s">
        <v>290</v>
      </c>
      <c r="C186" s="86"/>
      <c r="D186" s="86"/>
      <c r="E186" s="86"/>
      <c r="F186" s="6"/>
      <c r="G186" s="49"/>
      <c r="H186" s="49"/>
      <c r="I186" s="49"/>
    </row>
    <row r="187" spans="1:15" hidden="1" x14ac:dyDescent="0.25">
      <c r="A187" s="2" t="s">
        <v>210</v>
      </c>
      <c r="B187" s="2" t="s">
        <v>291</v>
      </c>
      <c r="C187" s="2"/>
      <c r="D187" s="86"/>
      <c r="E187" s="86"/>
      <c r="F187" s="6"/>
      <c r="G187" s="49"/>
      <c r="H187" s="49"/>
      <c r="I187" s="49"/>
    </row>
    <row r="188" spans="1:15" hidden="1" x14ac:dyDescent="0.25">
      <c r="A188" s="2" t="s">
        <v>215</v>
      </c>
      <c r="B188" s="2" t="s">
        <v>292</v>
      </c>
      <c r="C188" s="86"/>
      <c r="D188" s="86"/>
      <c r="E188" s="86"/>
      <c r="F188" s="6"/>
      <c r="G188" s="49"/>
      <c r="H188" s="49"/>
      <c r="I188" s="49"/>
    </row>
    <row r="189" spans="1:15" hidden="1" x14ac:dyDescent="0.25">
      <c r="A189" s="2" t="s">
        <v>62</v>
      </c>
      <c r="B189" s="2" t="s">
        <v>293</v>
      </c>
      <c r="C189" s="86"/>
      <c r="D189" s="86"/>
      <c r="E189" s="86"/>
      <c r="F189" s="6"/>
      <c r="G189" s="49"/>
      <c r="H189" s="49"/>
      <c r="I189" s="49"/>
      <c r="J189" s="49"/>
      <c r="K189" s="48"/>
      <c r="L189" s="48"/>
      <c r="M189" s="48"/>
      <c r="N189" s="48"/>
      <c r="O189" s="48"/>
    </row>
    <row r="190" spans="1:15" hidden="1" x14ac:dyDescent="0.25">
      <c r="A190" s="2" t="s">
        <v>80</v>
      </c>
      <c r="B190" s="2" t="s">
        <v>294</v>
      </c>
      <c r="C190" s="86"/>
      <c r="D190" s="86"/>
      <c r="E190" s="86"/>
      <c r="F190" s="6"/>
      <c r="G190" s="49"/>
      <c r="H190" s="49"/>
      <c r="I190" s="49"/>
      <c r="J190" s="49"/>
      <c r="K190" s="48"/>
      <c r="L190" s="48"/>
      <c r="M190" s="48"/>
      <c r="N190" s="48"/>
      <c r="O190" s="48"/>
    </row>
    <row r="191" spans="1:15" hidden="1" x14ac:dyDescent="0.25">
      <c r="A191" s="10" t="s">
        <v>9</v>
      </c>
      <c r="B191" s="10" t="s">
        <v>295</v>
      </c>
      <c r="C191" s="2"/>
      <c r="D191" s="2"/>
      <c r="E191" s="2"/>
      <c r="F191" s="6"/>
      <c r="G191" s="49"/>
      <c r="H191" s="49"/>
      <c r="I191" s="49"/>
      <c r="J191" s="49"/>
      <c r="K191" s="48"/>
      <c r="L191" s="48"/>
      <c r="M191" s="48"/>
      <c r="N191" s="48"/>
      <c r="O191" s="48"/>
    </row>
    <row r="192" spans="1:15" hidden="1" x14ac:dyDescent="0.25">
      <c r="A192" s="2" t="s">
        <v>43</v>
      </c>
      <c r="B192" s="2" t="s">
        <v>296</v>
      </c>
      <c r="C192" s="86"/>
      <c r="D192" s="86"/>
      <c r="E192" s="86"/>
      <c r="F192" s="6"/>
      <c r="G192" s="49"/>
      <c r="H192" s="49"/>
      <c r="I192" s="49"/>
      <c r="J192" s="49"/>
      <c r="K192" s="48"/>
      <c r="L192" s="48"/>
      <c r="M192" s="48"/>
      <c r="N192" s="48"/>
      <c r="O192" s="48"/>
    </row>
    <row r="193" spans="1:15" hidden="1" x14ac:dyDescent="0.25">
      <c r="A193" s="2" t="s">
        <v>111</v>
      </c>
      <c r="B193" s="2" t="s">
        <v>297</v>
      </c>
      <c r="C193" s="86"/>
      <c r="D193" s="2"/>
      <c r="E193" s="58"/>
      <c r="F193" s="6"/>
      <c r="G193" s="49"/>
      <c r="H193" s="49"/>
      <c r="I193" s="49"/>
      <c r="J193" s="49"/>
      <c r="K193" s="48"/>
      <c r="L193" s="48"/>
      <c r="M193" s="48"/>
      <c r="N193" s="48"/>
      <c r="O193" s="48"/>
    </row>
    <row r="194" spans="1:15" hidden="1" x14ac:dyDescent="0.25">
      <c r="A194" s="9" t="s">
        <v>8</v>
      </c>
      <c r="B194" s="9"/>
      <c r="C194" s="2"/>
      <c r="D194" s="2"/>
      <c r="E194" s="86"/>
      <c r="F194" s="6"/>
      <c r="G194" s="49"/>
      <c r="H194" s="49"/>
      <c r="I194" s="49"/>
    </row>
    <row r="195" spans="1:15" hidden="1" x14ac:dyDescent="0.25">
      <c r="A195" s="2" t="s">
        <v>25</v>
      </c>
      <c r="B195" s="2"/>
      <c r="C195" s="2"/>
      <c r="D195" s="86"/>
      <c r="E195" s="86"/>
      <c r="F195" s="6"/>
      <c r="G195" s="64"/>
      <c r="H195" s="64"/>
      <c r="I195" s="64"/>
      <c r="J195" s="49"/>
      <c r="K195" s="48"/>
      <c r="L195" s="48"/>
      <c r="M195" s="48"/>
      <c r="N195" s="48"/>
      <c r="O195" s="48"/>
    </row>
    <row r="196" spans="1:15" hidden="1" x14ac:dyDescent="0.25">
      <c r="A196" s="10" t="s">
        <v>28</v>
      </c>
      <c r="B196" s="10" t="s">
        <v>298</v>
      </c>
      <c r="C196" s="86"/>
      <c r="D196" s="86"/>
      <c r="E196" s="86"/>
      <c r="F196" s="6"/>
      <c r="G196" s="64"/>
      <c r="H196" s="64"/>
      <c r="I196" s="64"/>
      <c r="J196" s="49"/>
      <c r="K196" s="48"/>
      <c r="L196" s="48"/>
      <c r="M196" s="48"/>
      <c r="N196" s="48"/>
      <c r="O196" s="48"/>
    </row>
    <row r="197" spans="1:15" hidden="1" x14ac:dyDescent="0.25">
      <c r="A197" s="2" t="s">
        <v>71</v>
      </c>
      <c r="B197" s="2" t="s">
        <v>299</v>
      </c>
      <c r="C197" s="86"/>
      <c r="D197" s="109"/>
      <c r="E197" s="109"/>
      <c r="F197" s="6"/>
      <c r="G197" s="49"/>
      <c r="H197" s="49"/>
      <c r="I197" s="49"/>
      <c r="J197" s="49"/>
      <c r="K197" s="48"/>
      <c r="L197" s="48"/>
      <c r="M197" s="48"/>
      <c r="N197" s="48"/>
      <c r="O197" s="48"/>
    </row>
    <row r="198" spans="1:15" hidden="1" x14ac:dyDescent="0.25">
      <c r="A198" s="2" t="s">
        <v>216</v>
      </c>
      <c r="B198" s="2" t="s">
        <v>284</v>
      </c>
      <c r="C198" s="86"/>
      <c r="D198" s="86"/>
      <c r="E198" s="86"/>
      <c r="F198" s="6"/>
      <c r="G198" s="49"/>
      <c r="H198" s="49"/>
      <c r="I198" s="49"/>
    </row>
    <row r="199" spans="1:15" hidden="1" x14ac:dyDescent="0.25">
      <c r="A199" s="2" t="s">
        <v>188</v>
      </c>
      <c r="B199" s="2" t="s">
        <v>288</v>
      </c>
      <c r="C199" s="86"/>
      <c r="D199" s="86"/>
      <c r="E199" s="86"/>
      <c r="F199" s="6"/>
      <c r="G199" s="49"/>
      <c r="H199" s="49"/>
      <c r="I199" s="49"/>
    </row>
    <row r="200" spans="1:15" hidden="1" x14ac:dyDescent="0.25">
      <c r="A200" s="2" t="s">
        <v>86</v>
      </c>
      <c r="B200" s="2" t="s">
        <v>300</v>
      </c>
      <c r="C200" s="86"/>
      <c r="D200" s="86"/>
      <c r="E200" s="86"/>
      <c r="F200" s="6"/>
      <c r="G200" s="49"/>
      <c r="H200" s="49"/>
      <c r="I200" s="49"/>
      <c r="J200" s="49"/>
      <c r="K200" s="48"/>
      <c r="L200" s="48"/>
      <c r="M200" s="48"/>
      <c r="N200" s="48"/>
      <c r="O200" s="48"/>
    </row>
    <row r="201" spans="1:15" hidden="1" x14ac:dyDescent="0.25">
      <c r="A201" s="2" t="s">
        <v>100</v>
      </c>
      <c r="B201" s="2" t="s">
        <v>301</v>
      </c>
      <c r="C201" s="86"/>
      <c r="D201" s="86"/>
      <c r="E201" s="86"/>
      <c r="F201" s="6"/>
      <c r="G201" s="49"/>
      <c r="H201" s="49"/>
      <c r="I201" s="49"/>
    </row>
    <row r="202" spans="1:15" hidden="1" x14ac:dyDescent="0.25">
      <c r="A202" s="2" t="s">
        <v>35</v>
      </c>
      <c r="B202" s="2" t="s">
        <v>302</v>
      </c>
      <c r="C202" s="86"/>
      <c r="D202" s="86"/>
      <c r="E202" s="86"/>
      <c r="F202" s="6"/>
      <c r="G202" s="49"/>
      <c r="H202" s="49"/>
      <c r="I202" s="49"/>
    </row>
    <row r="203" spans="1:15" hidden="1" x14ac:dyDescent="0.25">
      <c r="A203" s="2" t="s">
        <v>91</v>
      </c>
      <c r="B203" s="2" t="s">
        <v>303</v>
      </c>
      <c r="C203" s="86"/>
      <c r="D203" s="86"/>
      <c r="E203" s="86"/>
      <c r="F203" s="6"/>
      <c r="G203" s="49"/>
      <c r="H203" s="49"/>
      <c r="I203" s="49"/>
    </row>
    <row r="204" spans="1:15" hidden="1" x14ac:dyDescent="0.25">
      <c r="A204" s="2" t="s">
        <v>66</v>
      </c>
      <c r="B204" s="2"/>
      <c r="C204" s="86"/>
      <c r="D204" s="86"/>
      <c r="E204" s="86"/>
      <c r="F204" s="6"/>
      <c r="G204" s="49"/>
      <c r="H204" s="49"/>
      <c r="I204" s="49"/>
    </row>
    <row r="205" spans="1:15" hidden="1" x14ac:dyDescent="0.25">
      <c r="A205" s="2" t="s">
        <v>166</v>
      </c>
      <c r="B205" s="2"/>
      <c r="C205" s="86"/>
      <c r="D205" s="86"/>
      <c r="E205" s="86"/>
      <c r="F205" s="6"/>
      <c r="G205" s="49"/>
      <c r="H205" s="49"/>
      <c r="I205" s="49"/>
    </row>
    <row r="206" spans="1:15" x14ac:dyDescent="0.25">
      <c r="A206" s="2" t="s">
        <v>40</v>
      </c>
      <c r="B206" s="2" t="s">
        <v>304</v>
      </c>
      <c r="C206" s="86"/>
      <c r="D206" s="86"/>
      <c r="E206" s="86"/>
      <c r="F206" s="6">
        <v>0</v>
      </c>
      <c r="G206" s="49"/>
      <c r="H206" s="49"/>
      <c r="I206" s="49"/>
    </row>
    <row r="207" spans="1:15" hidden="1" x14ac:dyDescent="0.25">
      <c r="A207" s="2" t="s">
        <v>48</v>
      </c>
      <c r="B207" s="2" t="s">
        <v>305</v>
      </c>
      <c r="C207" s="86"/>
      <c r="D207" s="86"/>
      <c r="E207" s="86"/>
      <c r="F207" s="2"/>
      <c r="G207" s="49"/>
      <c r="H207" s="49"/>
      <c r="I207" s="49"/>
    </row>
    <row r="208" spans="1:15" hidden="1" x14ac:dyDescent="0.25">
      <c r="A208" s="2" t="s">
        <v>169</v>
      </c>
      <c r="B208" s="2" t="s">
        <v>306</v>
      </c>
      <c r="C208" s="86"/>
      <c r="D208" s="86"/>
      <c r="E208" s="86"/>
      <c r="F208" s="86"/>
      <c r="G208" s="49"/>
      <c r="H208" s="49"/>
      <c r="I208" s="49"/>
      <c r="J208" s="49"/>
      <c r="K208" s="48"/>
      <c r="L208" s="48"/>
      <c r="M208" s="48"/>
      <c r="N208" s="48"/>
      <c r="O208" s="48"/>
    </row>
    <row r="209" spans="1:15" hidden="1" x14ac:dyDescent="0.25">
      <c r="A209" s="2" t="s">
        <v>170</v>
      </c>
      <c r="B209" s="2" t="s">
        <v>307</v>
      </c>
      <c r="C209" s="86"/>
      <c r="D209" s="86"/>
      <c r="E209" s="86"/>
      <c r="F209" s="86"/>
      <c r="G209" s="49"/>
      <c r="H209" s="49"/>
      <c r="I209" s="49"/>
      <c r="J209" s="49"/>
      <c r="K209" s="48"/>
      <c r="L209" s="48"/>
      <c r="M209" s="48"/>
      <c r="N209" s="48"/>
      <c r="O209" s="48"/>
    </row>
    <row r="210" spans="1:15" hidden="1" x14ac:dyDescent="0.25">
      <c r="A210" s="2" t="s">
        <v>171</v>
      </c>
      <c r="B210" s="2" t="s">
        <v>308</v>
      </c>
      <c r="C210" s="86"/>
      <c r="D210" s="86"/>
      <c r="E210" s="86"/>
      <c r="F210" s="86"/>
      <c r="G210" s="49"/>
      <c r="H210" s="49"/>
      <c r="I210" s="49"/>
      <c r="J210" s="49"/>
      <c r="K210" s="48"/>
      <c r="L210" s="48"/>
      <c r="M210" s="48"/>
      <c r="N210" s="48"/>
      <c r="O210" s="48"/>
    </row>
    <row r="211" spans="1:15" hidden="1" x14ac:dyDescent="0.25">
      <c r="A211" s="2" t="s">
        <v>45</v>
      </c>
      <c r="B211" s="2" t="s">
        <v>309</v>
      </c>
      <c r="C211" s="86"/>
      <c r="D211" s="86"/>
      <c r="E211" s="86"/>
      <c r="F211" s="86"/>
      <c r="G211" s="49"/>
      <c r="H211" s="49"/>
      <c r="I211" s="49"/>
      <c r="J211" s="49"/>
      <c r="K211" s="48"/>
      <c r="L211" s="48"/>
      <c r="M211" s="48"/>
      <c r="N211" s="48"/>
      <c r="O211" s="48"/>
    </row>
    <row r="212" spans="1:15" hidden="1" x14ac:dyDescent="0.25">
      <c r="A212" s="2" t="s">
        <v>56</v>
      </c>
      <c r="B212" s="2" t="s">
        <v>310</v>
      </c>
      <c r="C212" s="86"/>
      <c r="D212" s="86"/>
      <c r="E212" s="86"/>
      <c r="F212" s="86"/>
      <c r="G212" s="49"/>
      <c r="H212" s="49"/>
      <c r="I212" s="49"/>
      <c r="J212" s="49"/>
      <c r="K212" s="48"/>
      <c r="L212" s="48"/>
      <c r="M212" s="48"/>
      <c r="N212" s="48"/>
      <c r="O212" s="48"/>
    </row>
    <row r="213" spans="1:15" hidden="1" x14ac:dyDescent="0.25">
      <c r="A213" s="2" t="s">
        <v>53</v>
      </c>
      <c r="B213" s="2" t="s">
        <v>311</v>
      </c>
      <c r="C213" s="86"/>
      <c r="D213" s="86"/>
      <c r="E213" s="86"/>
      <c r="F213" s="86"/>
      <c r="G213" s="64"/>
      <c r="H213" s="64"/>
      <c r="I213" s="64"/>
      <c r="J213" s="49"/>
      <c r="K213" s="48"/>
      <c r="L213" s="48"/>
      <c r="M213" s="48"/>
      <c r="N213" s="48"/>
      <c r="O213" s="48"/>
    </row>
    <row r="214" spans="1:15" hidden="1" x14ac:dyDescent="0.25">
      <c r="A214" s="2" t="s">
        <v>79</v>
      </c>
      <c r="B214" s="2"/>
      <c r="C214" s="86"/>
      <c r="D214" s="86"/>
      <c r="E214" s="86"/>
      <c r="F214" s="86"/>
      <c r="G214" s="49"/>
      <c r="H214" s="49"/>
      <c r="I214" s="49"/>
      <c r="J214" s="49"/>
      <c r="K214" s="48"/>
      <c r="L214" s="48"/>
      <c r="M214" s="48"/>
      <c r="N214" s="48"/>
      <c r="O214" s="48"/>
    </row>
    <row r="215" spans="1:15" s="1" customFormat="1" hidden="1" x14ac:dyDescent="0.25">
      <c r="A215" s="2" t="s">
        <v>110</v>
      </c>
      <c r="B215" s="2" t="s">
        <v>312</v>
      </c>
      <c r="C215" s="86"/>
      <c r="D215" s="86"/>
      <c r="E215" s="86"/>
      <c r="F215" s="86"/>
      <c r="G215" s="49"/>
      <c r="H215" s="49"/>
      <c r="I215" s="49"/>
      <c r="J215" s="49"/>
      <c r="K215" s="48"/>
      <c r="L215" s="48"/>
      <c r="M215" s="48"/>
      <c r="N215" s="48"/>
      <c r="O215" s="48"/>
    </row>
    <row r="216" spans="1:15" hidden="1" x14ac:dyDescent="0.25">
      <c r="A216" s="2" t="s">
        <v>85</v>
      </c>
      <c r="B216" s="2" t="s">
        <v>313</v>
      </c>
      <c r="C216" s="86"/>
      <c r="D216" s="86"/>
      <c r="E216" s="86"/>
      <c r="F216" s="86"/>
      <c r="G216" s="49"/>
      <c r="H216" s="49"/>
      <c r="I216" s="49"/>
      <c r="J216" s="49"/>
      <c r="K216" s="48"/>
      <c r="L216" s="48"/>
      <c r="M216" s="48"/>
      <c r="N216" s="48"/>
      <c r="O216" s="48"/>
    </row>
    <row r="217" spans="1:15" hidden="1" x14ac:dyDescent="0.25">
      <c r="A217" s="10" t="s">
        <v>14</v>
      </c>
      <c r="B217" s="10" t="s">
        <v>314</v>
      </c>
      <c r="C217" s="86"/>
      <c r="D217" s="86"/>
      <c r="E217" s="86"/>
      <c r="F217" s="86"/>
      <c r="G217" s="49"/>
      <c r="H217" s="49"/>
      <c r="I217" s="49"/>
    </row>
    <row r="218" spans="1:15" hidden="1" x14ac:dyDescent="0.25">
      <c r="A218" s="2" t="s">
        <v>38</v>
      </c>
      <c r="B218" s="2" t="s">
        <v>315</v>
      </c>
      <c r="C218" s="86"/>
      <c r="D218" s="86"/>
      <c r="E218" s="86"/>
      <c r="F218" s="86"/>
      <c r="G218" s="49"/>
      <c r="H218" s="49"/>
      <c r="I218" s="49"/>
    </row>
    <row r="219" spans="1:15" hidden="1" x14ac:dyDescent="0.25">
      <c r="A219" s="2" t="s">
        <v>63</v>
      </c>
      <c r="B219" s="2" t="s">
        <v>316</v>
      </c>
      <c r="C219" s="86"/>
      <c r="D219" s="86"/>
      <c r="E219" s="86"/>
      <c r="F219" s="86"/>
      <c r="G219" s="49"/>
      <c r="H219" s="49"/>
      <c r="I219" s="49"/>
    </row>
    <row r="220" spans="1:15" hidden="1" x14ac:dyDescent="0.25">
      <c r="A220" s="2" t="s">
        <v>77</v>
      </c>
      <c r="B220" s="2" t="s">
        <v>317</v>
      </c>
      <c r="C220" s="86"/>
      <c r="D220" s="86"/>
      <c r="E220" s="86"/>
      <c r="F220" s="86"/>
      <c r="G220" s="49"/>
      <c r="H220" s="49"/>
      <c r="I220" s="49"/>
    </row>
    <row r="221" spans="1:15" hidden="1" x14ac:dyDescent="0.25">
      <c r="A221" s="10" t="s">
        <v>102</v>
      </c>
      <c r="B221" s="10" t="s">
        <v>318</v>
      </c>
      <c r="C221" s="86"/>
      <c r="D221" s="86"/>
      <c r="E221" s="86"/>
      <c r="F221" s="86"/>
      <c r="G221" s="49"/>
      <c r="H221" s="49"/>
      <c r="I221" s="49"/>
    </row>
    <row r="222" spans="1:15" hidden="1" x14ac:dyDescent="0.25">
      <c r="A222" s="10" t="s">
        <v>11</v>
      </c>
      <c r="B222" s="10"/>
      <c r="C222" s="86"/>
      <c r="D222" s="86"/>
      <c r="E222" s="86"/>
      <c r="F222" s="86"/>
      <c r="G222" s="49"/>
      <c r="H222" s="49"/>
      <c r="I222" s="49"/>
    </row>
    <row r="223" spans="1:15" hidden="1" x14ac:dyDescent="0.25">
      <c r="A223" s="10" t="s">
        <v>95</v>
      </c>
      <c r="B223" s="10" t="s">
        <v>319</v>
      </c>
      <c r="C223" s="86"/>
      <c r="D223" s="86"/>
      <c r="E223" s="86"/>
      <c r="F223" s="86"/>
      <c r="G223" s="49"/>
      <c r="H223" s="49"/>
      <c r="I223" s="49"/>
    </row>
    <row r="224" spans="1:15" hidden="1" x14ac:dyDescent="0.25">
      <c r="A224" s="2" t="s">
        <v>92</v>
      </c>
      <c r="B224" s="2" t="s">
        <v>320</v>
      </c>
      <c r="C224" s="86"/>
      <c r="D224" s="86"/>
      <c r="E224" s="86"/>
      <c r="F224" s="86"/>
      <c r="G224" s="49"/>
      <c r="H224" s="49"/>
      <c r="I224" s="49"/>
    </row>
    <row r="225" spans="1:9" hidden="1" x14ac:dyDescent="0.25">
      <c r="A225" s="2" t="s">
        <v>89</v>
      </c>
      <c r="B225" s="2" t="s">
        <v>321</v>
      </c>
      <c r="C225" s="86"/>
      <c r="D225" s="86"/>
      <c r="E225" s="86"/>
      <c r="F225" s="86"/>
      <c r="G225" s="49"/>
      <c r="H225" s="49"/>
      <c r="I225" s="49"/>
    </row>
    <row r="226" spans="1:9" hidden="1" x14ac:dyDescent="0.25">
      <c r="A226" s="2" t="s">
        <v>90</v>
      </c>
      <c r="B226" s="2" t="s">
        <v>322</v>
      </c>
      <c r="C226" s="86"/>
      <c r="D226" s="86"/>
      <c r="E226" s="86"/>
      <c r="F226" s="86"/>
      <c r="G226" s="49"/>
      <c r="H226" s="49"/>
      <c r="I226" s="49"/>
    </row>
    <row r="227" spans="1:9" hidden="1" x14ac:dyDescent="0.25">
      <c r="A227" s="2" t="s">
        <v>87</v>
      </c>
      <c r="B227" s="2" t="s">
        <v>323</v>
      </c>
      <c r="C227" s="86"/>
      <c r="D227" s="86"/>
      <c r="E227" s="86"/>
      <c r="F227" s="86"/>
      <c r="G227" s="49"/>
      <c r="H227" s="49"/>
      <c r="I227" s="49"/>
    </row>
    <row r="228" spans="1:9" hidden="1" x14ac:dyDescent="0.25">
      <c r="A228" s="2" t="s">
        <v>82</v>
      </c>
      <c r="B228" s="2" t="s">
        <v>292</v>
      </c>
      <c r="C228" s="86"/>
      <c r="D228" s="86"/>
      <c r="E228" s="86"/>
      <c r="F228" s="86"/>
      <c r="G228" s="49"/>
      <c r="H228" s="49"/>
      <c r="I228" s="49"/>
    </row>
    <row r="229" spans="1:9" hidden="1" x14ac:dyDescent="0.25">
      <c r="A229" s="2" t="s">
        <v>83</v>
      </c>
      <c r="B229" s="2" t="s">
        <v>324</v>
      </c>
      <c r="C229" s="86"/>
      <c r="D229" s="86"/>
      <c r="E229" s="86"/>
      <c r="F229" s="86"/>
      <c r="G229" s="49"/>
      <c r="H229" s="49"/>
      <c r="I229" s="49"/>
    </row>
    <row r="230" spans="1:9" hidden="1" x14ac:dyDescent="0.25">
      <c r="A230" s="2" t="s">
        <v>46</v>
      </c>
      <c r="B230" s="2" t="s">
        <v>325</v>
      </c>
      <c r="C230" s="86"/>
      <c r="D230" s="86"/>
      <c r="E230" s="86"/>
      <c r="F230" s="86"/>
      <c r="G230" s="49"/>
      <c r="H230" s="49"/>
      <c r="I230" s="49"/>
    </row>
    <row r="231" spans="1:9" hidden="1" x14ac:dyDescent="0.25">
      <c r="A231" s="2" t="s">
        <v>58</v>
      </c>
      <c r="B231" s="2" t="s">
        <v>326</v>
      </c>
      <c r="C231" s="86"/>
      <c r="D231" s="86"/>
      <c r="E231" s="86"/>
      <c r="F231" s="86"/>
      <c r="G231" s="49"/>
      <c r="H231" s="49"/>
      <c r="I231" s="49"/>
    </row>
    <row r="232" spans="1:9" hidden="1" x14ac:dyDescent="0.25">
      <c r="A232" s="2" t="s">
        <v>78</v>
      </c>
      <c r="B232" s="2" t="s">
        <v>327</v>
      </c>
      <c r="C232" s="86"/>
      <c r="D232" s="86"/>
      <c r="E232" s="86"/>
      <c r="F232" s="86"/>
      <c r="G232" s="49"/>
      <c r="H232" s="49"/>
      <c r="I232" s="49"/>
    </row>
    <row r="233" spans="1:9" hidden="1" x14ac:dyDescent="0.25">
      <c r="A233" s="2" t="s">
        <v>37</v>
      </c>
      <c r="B233" s="2" t="s">
        <v>328</v>
      </c>
      <c r="C233" s="86"/>
      <c r="D233" s="86"/>
      <c r="E233" s="86"/>
      <c r="F233" s="86"/>
      <c r="G233" s="49"/>
      <c r="H233" s="49"/>
      <c r="I233" s="49"/>
    </row>
    <row r="234" spans="1:9" hidden="1" x14ac:dyDescent="0.25">
      <c r="A234" s="2" t="s">
        <v>75</v>
      </c>
      <c r="B234" s="2" t="s">
        <v>329</v>
      </c>
      <c r="C234" s="86"/>
      <c r="D234" s="86"/>
      <c r="E234" s="86"/>
      <c r="F234" s="86"/>
      <c r="G234" s="49"/>
      <c r="H234" s="49"/>
      <c r="I234" s="49"/>
    </row>
    <row r="235" spans="1:9" hidden="1" x14ac:dyDescent="0.25">
      <c r="A235" s="2" t="s">
        <v>18</v>
      </c>
      <c r="B235" s="2"/>
      <c r="C235" s="86"/>
      <c r="D235" s="86"/>
      <c r="E235" s="86"/>
      <c r="F235" s="86"/>
      <c r="G235" s="49"/>
      <c r="H235" s="49"/>
      <c r="I235" s="49"/>
    </row>
    <row r="236" spans="1:9" hidden="1" x14ac:dyDescent="0.25">
      <c r="A236" s="2" t="s">
        <v>51</v>
      </c>
      <c r="B236" s="2" t="s">
        <v>283</v>
      </c>
      <c r="C236" s="86"/>
      <c r="D236" s="86"/>
      <c r="E236" s="86"/>
      <c r="F236" s="86"/>
      <c r="G236" s="49"/>
      <c r="H236" s="49"/>
      <c r="I236" s="49"/>
    </row>
    <row r="237" spans="1:9" hidden="1" x14ac:dyDescent="0.25">
      <c r="A237" s="2" t="s">
        <v>72</v>
      </c>
      <c r="B237" s="2"/>
      <c r="C237" s="86"/>
      <c r="D237" s="86"/>
      <c r="E237" s="86"/>
      <c r="F237" s="86"/>
      <c r="G237" s="49"/>
      <c r="H237" s="49"/>
      <c r="I237" s="49"/>
    </row>
    <row r="238" spans="1:9" hidden="1" x14ac:dyDescent="0.25">
      <c r="A238" s="2" t="s">
        <v>69</v>
      </c>
      <c r="B238" s="2" t="s">
        <v>330</v>
      </c>
      <c r="C238" s="86"/>
      <c r="D238" s="86"/>
      <c r="E238" s="86"/>
      <c r="F238" s="86"/>
      <c r="G238" s="49"/>
      <c r="H238" s="49"/>
      <c r="I238" s="49"/>
    </row>
    <row r="239" spans="1:9" hidden="1" x14ac:dyDescent="0.25">
      <c r="A239" s="2" t="s">
        <v>67</v>
      </c>
      <c r="B239" s="2" t="s">
        <v>331</v>
      </c>
      <c r="C239" s="86"/>
      <c r="D239" s="86"/>
      <c r="E239" s="86"/>
      <c r="F239" s="86"/>
      <c r="G239" s="49"/>
      <c r="H239" s="49"/>
      <c r="I239" s="49"/>
    </row>
    <row r="240" spans="1:9" hidden="1" x14ac:dyDescent="0.25">
      <c r="A240" s="2" t="s">
        <v>70</v>
      </c>
      <c r="B240" s="2" t="s">
        <v>332</v>
      </c>
      <c r="C240" s="86"/>
      <c r="D240" s="86"/>
      <c r="E240" s="86"/>
      <c r="F240" s="86"/>
      <c r="G240" s="49"/>
      <c r="H240" s="49"/>
      <c r="I240" s="49"/>
    </row>
    <row r="241" spans="1:15" hidden="1" x14ac:dyDescent="0.25">
      <c r="A241" s="10" t="s">
        <v>65</v>
      </c>
      <c r="B241" s="10" t="s">
        <v>333</v>
      </c>
      <c r="C241" s="86"/>
      <c r="D241" s="86"/>
      <c r="E241" s="86"/>
      <c r="F241" s="86"/>
      <c r="G241" s="49"/>
      <c r="H241" s="49"/>
      <c r="I241" s="49"/>
    </row>
    <row r="242" spans="1:15" hidden="1" x14ac:dyDescent="0.25">
      <c r="A242" s="2" t="s">
        <v>47</v>
      </c>
      <c r="B242" s="2" t="s">
        <v>334</v>
      </c>
      <c r="C242" s="86"/>
      <c r="D242" s="86"/>
      <c r="E242" s="86"/>
      <c r="F242" s="86"/>
      <c r="G242" s="49"/>
      <c r="H242" s="49"/>
      <c r="I242" s="49"/>
    </row>
    <row r="243" spans="1:15" hidden="1" x14ac:dyDescent="0.25">
      <c r="A243" s="2" t="s">
        <v>64</v>
      </c>
      <c r="B243" s="2"/>
      <c r="C243" s="86"/>
      <c r="D243" s="86"/>
      <c r="E243" s="86"/>
      <c r="F243" s="86"/>
      <c r="G243" s="49"/>
      <c r="H243" s="49"/>
      <c r="I243" s="49"/>
    </row>
    <row r="244" spans="1:15" hidden="1" x14ac:dyDescent="0.25">
      <c r="A244" s="9" t="s">
        <v>27</v>
      </c>
      <c r="B244" s="9" t="s">
        <v>335</v>
      </c>
      <c r="C244" s="86"/>
      <c r="D244" s="86"/>
      <c r="E244" s="86"/>
      <c r="F244" s="86"/>
      <c r="G244" s="49"/>
      <c r="H244" s="49"/>
      <c r="I244" s="49"/>
    </row>
    <row r="245" spans="1:15" hidden="1" x14ac:dyDescent="0.25">
      <c r="A245" s="2" t="s">
        <v>19</v>
      </c>
      <c r="B245" s="2" t="s">
        <v>336</v>
      </c>
      <c r="C245" s="86"/>
      <c r="D245" s="86"/>
      <c r="E245" s="86"/>
      <c r="F245" s="86"/>
      <c r="G245" s="49"/>
      <c r="H245" s="49"/>
      <c r="I245" s="49"/>
    </row>
    <row r="246" spans="1:15" hidden="1" x14ac:dyDescent="0.25">
      <c r="A246" s="2" t="s">
        <v>31</v>
      </c>
      <c r="B246" s="2" t="s">
        <v>337</v>
      </c>
      <c r="C246" s="86"/>
      <c r="D246" s="86"/>
      <c r="E246" s="86"/>
      <c r="F246" s="86"/>
      <c r="G246" s="49"/>
      <c r="H246" s="49"/>
      <c r="I246" s="49"/>
    </row>
    <row r="247" spans="1:15" hidden="1" x14ac:dyDescent="0.25">
      <c r="A247" s="2" t="s">
        <v>49</v>
      </c>
      <c r="B247" s="2" t="s">
        <v>338</v>
      </c>
      <c r="C247" s="86"/>
      <c r="D247" s="86"/>
      <c r="E247" s="86"/>
      <c r="F247" s="86"/>
      <c r="G247" s="49"/>
      <c r="H247" s="49"/>
      <c r="I247" s="49"/>
    </row>
    <row r="248" spans="1:15" hidden="1" x14ac:dyDescent="0.25">
      <c r="A248" s="2" t="s">
        <v>50</v>
      </c>
      <c r="B248" s="2" t="s">
        <v>340</v>
      </c>
      <c r="C248" s="86"/>
      <c r="D248" s="86"/>
      <c r="E248" s="86"/>
      <c r="F248" s="86"/>
      <c r="G248" s="49"/>
      <c r="H248" s="49"/>
      <c r="I248" s="49"/>
    </row>
    <row r="249" spans="1:15" hidden="1" x14ac:dyDescent="0.25">
      <c r="A249" s="2" t="s">
        <v>55</v>
      </c>
      <c r="B249" s="2" t="s">
        <v>339</v>
      </c>
      <c r="C249" s="86"/>
      <c r="D249" s="86"/>
      <c r="E249" s="86"/>
      <c r="F249" s="86"/>
      <c r="G249" s="49"/>
      <c r="H249" s="49"/>
      <c r="I249" s="49"/>
    </row>
    <row r="250" spans="1:15" hidden="1" x14ac:dyDescent="0.25">
      <c r="A250" s="2" t="s">
        <v>57</v>
      </c>
      <c r="B250" s="2" t="s">
        <v>341</v>
      </c>
      <c r="C250" s="86"/>
      <c r="D250" s="86"/>
      <c r="E250" s="86"/>
      <c r="F250" s="86"/>
      <c r="G250" s="49"/>
      <c r="H250" s="49"/>
      <c r="I250" s="49"/>
    </row>
    <row r="251" spans="1:15" hidden="1" x14ac:dyDescent="0.25">
      <c r="A251" s="2" t="s">
        <v>60</v>
      </c>
      <c r="B251" s="2"/>
      <c r="C251" s="86"/>
      <c r="D251" s="86"/>
      <c r="E251" s="86"/>
      <c r="F251" s="86"/>
      <c r="G251" s="49"/>
      <c r="H251" s="49"/>
      <c r="I251" s="49"/>
    </row>
    <row r="252" spans="1:15" hidden="1" x14ac:dyDescent="0.25">
      <c r="A252" s="2"/>
      <c r="B252" s="2"/>
      <c r="C252" s="86"/>
      <c r="D252" s="86"/>
      <c r="E252" s="86"/>
      <c r="F252" s="86"/>
      <c r="G252" s="49"/>
      <c r="H252" s="49"/>
      <c r="I252" s="49"/>
    </row>
    <row r="253" spans="1:15" x14ac:dyDescent="0.25">
      <c r="A253" s="2" t="s">
        <v>61</v>
      </c>
      <c r="B253" s="2" t="s">
        <v>342</v>
      </c>
      <c r="C253" s="86"/>
      <c r="D253" s="86"/>
      <c r="E253" s="86"/>
      <c r="F253" s="86"/>
      <c r="G253" s="49"/>
      <c r="H253" s="49"/>
      <c r="I253" s="49"/>
    </row>
    <row r="254" spans="1:15" x14ac:dyDescent="0.25">
      <c r="A254" s="2"/>
      <c r="B254" s="2"/>
      <c r="C254" s="14"/>
      <c r="D254" s="14"/>
      <c r="E254" s="14"/>
      <c r="F254" s="14"/>
      <c r="G254" s="63"/>
      <c r="H254" s="63"/>
      <c r="I254" s="63"/>
    </row>
    <row r="255" spans="1:15" ht="15.75" thickBot="1" x14ac:dyDescent="0.3">
      <c r="A255" s="7" t="s">
        <v>16</v>
      </c>
      <c r="B255" s="7"/>
      <c r="C255" s="8">
        <f>SUM(C141:C254)</f>
        <v>324.63365999999996</v>
      </c>
      <c r="D255" s="8">
        <f>SUM(D141:D254)</f>
        <v>559.21692500000017</v>
      </c>
      <c r="E255" s="8">
        <f>SUM(E141:E254)</f>
        <v>333.92234000000008</v>
      </c>
      <c r="F255" s="8">
        <f>SUM(F141:F254)</f>
        <v>409.96391499999993</v>
      </c>
      <c r="G255" s="49"/>
      <c r="H255" s="49"/>
      <c r="I255" s="49"/>
    </row>
    <row r="256" spans="1:15" ht="15.75" thickBot="1" x14ac:dyDescent="0.3">
      <c r="A256" s="2"/>
      <c r="B256" s="2"/>
      <c r="C256" s="2"/>
      <c r="D256" s="2"/>
      <c r="E256" s="2"/>
      <c r="F256" s="2"/>
      <c r="G256" s="1"/>
      <c r="J256" s="21" t="s">
        <v>116</v>
      </c>
      <c r="K256" s="23" t="s">
        <v>115</v>
      </c>
      <c r="L256" s="23">
        <v>2016</v>
      </c>
      <c r="M256" s="22">
        <v>2017</v>
      </c>
      <c r="N256" s="28" t="s">
        <v>154</v>
      </c>
      <c r="O256" s="29" t="s">
        <v>153</v>
      </c>
    </row>
    <row r="257" spans="1:15" x14ac:dyDescent="0.25">
      <c r="A257" s="11" t="s">
        <v>200</v>
      </c>
      <c r="B257" s="11"/>
      <c r="C257" s="12">
        <f>C121+C139-C255</f>
        <v>717.36634000000004</v>
      </c>
      <c r="D257" s="12">
        <f>D121+D139-D255</f>
        <v>584.63302999999996</v>
      </c>
      <c r="E257" s="12">
        <f>E121+E139-E255</f>
        <v>449.95838999999989</v>
      </c>
      <c r="F257" s="12">
        <f>F121+F139-F255</f>
        <v>365.75147499999991</v>
      </c>
      <c r="J257" s="19" t="s">
        <v>113</v>
      </c>
      <c r="K257" s="24"/>
      <c r="L257" s="24" t="e">
        <f>F168+#REF!</f>
        <v>#REF!</v>
      </c>
      <c r="M257" s="25" t="e">
        <f>SUM(C141:F167)+#REF!+SUM(C169:F178)</f>
        <v>#REF!</v>
      </c>
      <c r="N257" s="24"/>
      <c r="O257" s="24"/>
    </row>
    <row r="258" spans="1:15" ht="15.75" thickBot="1" x14ac:dyDescent="0.3">
      <c r="A258" s="4" t="s">
        <v>201</v>
      </c>
      <c r="B258" s="4"/>
      <c r="C258" s="5">
        <f>C257/0.0042</f>
        <v>170801.50952380954</v>
      </c>
      <c r="D258" s="5">
        <f>D257/0.0042</f>
        <v>139198.34047619047</v>
      </c>
      <c r="E258" s="5">
        <f>E257/0.0042</f>
        <v>107132.94999999998</v>
      </c>
      <c r="F258" s="5">
        <f>F257/0.0042</f>
        <v>87083.684523809512</v>
      </c>
      <c r="J258" s="20" t="s">
        <v>114</v>
      </c>
      <c r="K258" s="26">
        <f>K257/4</f>
        <v>0</v>
      </c>
      <c r="L258" s="26" t="e">
        <f>L257/4</f>
        <v>#REF!</v>
      </c>
      <c r="M258" s="27" t="e">
        <f>M257/4</f>
        <v>#REF!</v>
      </c>
      <c r="N258" s="26" t="e">
        <f>SUM(K258:M258)</f>
        <v>#REF!</v>
      </c>
      <c r="O258" s="26" t="e">
        <f>SUM(L258:M258)</f>
        <v>#REF!</v>
      </c>
    </row>
    <row r="260" spans="1:15" x14ac:dyDescent="0.25">
      <c r="D260" s="92"/>
      <c r="F260" s="92"/>
    </row>
  </sheetData>
  <mergeCells count="1">
    <mergeCell ref="C6:E6"/>
  </mergeCells>
  <pageMargins left="0.35433070866141736" right="0.27559055118110237" top="0.74803149606299213" bottom="0.74803149606299213" header="0.31496062992125984" footer="0.31496062992125984"/>
  <pageSetup paperSize="9" scale="67" orientation="portrait" horizontalDpi="4294967293" verticalDpi="4294967293" r:id="rId1"/>
  <rowBreaks count="1" manualBreakCount="1">
    <brk id="117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60"/>
  <sheetViews>
    <sheetView workbookViewId="0">
      <pane xSplit="1" ySplit="3" topLeftCell="B153" activePane="bottomRight" state="frozen"/>
      <selection pane="topRight" activeCell="B1" sqref="B1"/>
      <selection pane="bottomLeft" activeCell="A4" sqref="A4"/>
      <selection pane="bottomRight" activeCell="A173" sqref="A173"/>
    </sheetView>
  </sheetViews>
  <sheetFormatPr defaultRowHeight="15" outlineLevelRow="1" x14ac:dyDescent="0.25"/>
  <cols>
    <col min="1" max="1" width="52" bestFit="1" customWidth="1"/>
    <col min="2" max="2" width="11.42578125" bestFit="1" customWidth="1"/>
    <col min="3" max="3" width="14" bestFit="1" customWidth="1"/>
    <col min="4" max="4" width="9.7109375" customWidth="1"/>
    <col min="5" max="5" width="10.5703125" customWidth="1"/>
    <col min="6" max="6" width="4" bestFit="1" customWidth="1"/>
    <col min="8" max="8" width="10.140625" customWidth="1"/>
    <col min="10" max="10" width="22.7109375" bestFit="1" customWidth="1"/>
    <col min="11" max="11" width="10.85546875" customWidth="1"/>
    <col min="12" max="12" width="14" bestFit="1" customWidth="1"/>
    <col min="13" max="13" width="19" bestFit="1" customWidth="1"/>
    <col min="14" max="14" width="20.42578125" bestFit="1" customWidth="1"/>
  </cols>
  <sheetData>
    <row r="1" spans="1:15" x14ac:dyDescent="0.25">
      <c r="I1" s="48"/>
      <c r="J1" s="48"/>
      <c r="K1" s="48"/>
      <c r="L1" s="48"/>
      <c r="M1" s="48"/>
      <c r="N1" s="48"/>
    </row>
    <row r="2" spans="1:15" x14ac:dyDescent="0.25">
      <c r="I2" s="48"/>
      <c r="J2" s="48"/>
      <c r="K2" s="48"/>
      <c r="L2" s="48"/>
      <c r="M2" s="48"/>
      <c r="N2" s="48"/>
    </row>
    <row r="3" spans="1:15" s="1" customFormat="1" x14ac:dyDescent="0.25">
      <c r="I3" s="49"/>
      <c r="J3" s="49"/>
      <c r="K3" s="49"/>
      <c r="L3" s="49"/>
      <c r="M3" s="49"/>
      <c r="N3" s="49"/>
    </row>
    <row r="4" spans="1:15" s="1" customFormat="1" hidden="1" x14ac:dyDescent="0.25">
      <c r="A4" s="46" t="s">
        <v>139</v>
      </c>
      <c r="B4" s="47">
        <v>4.2</v>
      </c>
      <c r="C4" s="49"/>
      <c r="D4" s="49"/>
      <c r="I4" s="49"/>
      <c r="N4" s="49"/>
    </row>
    <row r="5" spans="1:15" hidden="1" x14ac:dyDescent="0.25">
      <c r="A5" s="48"/>
      <c r="B5" s="48"/>
      <c r="C5" s="48"/>
      <c r="D5" s="48"/>
      <c r="I5" s="49"/>
      <c r="N5" s="48"/>
      <c r="O5" s="48"/>
    </row>
    <row r="6" spans="1:15" ht="15.75" hidden="1" x14ac:dyDescent="0.25">
      <c r="A6" s="30" t="s">
        <v>118</v>
      </c>
      <c r="B6" s="150" t="s">
        <v>213</v>
      </c>
      <c r="C6" s="150"/>
      <c r="D6" s="150"/>
      <c r="I6" s="49"/>
      <c r="N6" s="48"/>
    </row>
    <row r="7" spans="1:15" ht="16.5" hidden="1" thickBot="1" x14ac:dyDescent="0.3">
      <c r="A7" s="30" t="s">
        <v>144</v>
      </c>
      <c r="B7" s="50" t="s">
        <v>140</v>
      </c>
      <c r="C7" s="50" t="s">
        <v>141</v>
      </c>
      <c r="D7" s="51" t="s">
        <v>142</v>
      </c>
      <c r="G7" s="97"/>
      <c r="H7" s="97"/>
      <c r="I7" s="49"/>
      <c r="N7" s="48"/>
    </row>
    <row r="8" spans="1:15" hidden="1" x14ac:dyDescent="0.25">
      <c r="A8" s="31" t="s">
        <v>119</v>
      </c>
      <c r="B8" s="38"/>
      <c r="C8" s="48"/>
      <c r="D8" s="48"/>
      <c r="I8" s="49"/>
      <c r="N8" s="48"/>
    </row>
    <row r="9" spans="1:15" hidden="1" x14ac:dyDescent="0.25">
      <c r="A9" s="32" t="s">
        <v>120</v>
      </c>
      <c r="B9" s="39">
        <f>84.5*B4</f>
        <v>354.90000000000003</v>
      </c>
      <c r="C9" s="39" t="e">
        <f>C10+C11+C12</f>
        <v>#REF!</v>
      </c>
      <c r="D9" s="39" t="e">
        <f>C9-B9</f>
        <v>#REF!</v>
      </c>
      <c r="G9" s="95"/>
      <c r="H9" s="95"/>
      <c r="I9" s="98"/>
      <c r="N9" s="48"/>
    </row>
    <row r="10" spans="1:15" hidden="1" x14ac:dyDescent="0.25">
      <c r="A10" s="79" t="s">
        <v>2</v>
      </c>
      <c r="B10" s="80"/>
      <c r="C10" s="80">
        <f>B123+C123</f>
        <v>0</v>
      </c>
      <c r="D10" s="80"/>
      <c r="I10" s="98"/>
      <c r="N10" s="48"/>
    </row>
    <row r="11" spans="1:15" hidden="1" x14ac:dyDescent="0.25">
      <c r="A11" s="79" t="s">
        <v>74</v>
      </c>
      <c r="B11" s="80"/>
      <c r="C11" s="80" t="e">
        <f>#REF!</f>
        <v>#REF!</v>
      </c>
      <c r="D11" s="80"/>
      <c r="I11" s="98"/>
      <c r="N11" s="48"/>
    </row>
    <row r="12" spans="1:15" hidden="1" x14ac:dyDescent="0.25">
      <c r="A12" s="79" t="s">
        <v>214</v>
      </c>
      <c r="B12" s="80"/>
      <c r="C12" s="80">
        <f>SUM(B133:E133)</f>
        <v>1011.5894500000001</v>
      </c>
      <c r="D12" s="80"/>
      <c r="I12" s="98"/>
      <c r="N12" s="48"/>
    </row>
    <row r="13" spans="1:15" hidden="1" x14ac:dyDescent="0.25">
      <c r="A13" s="33"/>
      <c r="B13" s="40"/>
      <c r="C13" s="40"/>
      <c r="D13" s="40"/>
      <c r="I13" s="98"/>
      <c r="N13" s="48"/>
    </row>
    <row r="14" spans="1:15" hidden="1" x14ac:dyDescent="0.25">
      <c r="A14" s="33" t="s">
        <v>121</v>
      </c>
      <c r="B14" s="40">
        <v>0</v>
      </c>
      <c r="C14" s="40">
        <f>SUM(C15:C17)</f>
        <v>0</v>
      </c>
      <c r="D14" s="40">
        <f>C14-B14</f>
        <v>0</v>
      </c>
      <c r="G14" s="95"/>
      <c r="H14" s="95"/>
      <c r="I14" s="98"/>
      <c r="N14" s="48"/>
    </row>
    <row r="15" spans="1:15" hidden="1" outlineLevel="1" x14ac:dyDescent="0.25">
      <c r="A15" s="81" t="s">
        <v>8</v>
      </c>
      <c r="B15" s="40"/>
      <c r="C15" s="82">
        <f>-D197-E197</f>
        <v>0</v>
      </c>
      <c r="D15" s="40"/>
      <c r="I15" s="98"/>
      <c r="N15" s="48"/>
    </row>
    <row r="16" spans="1:15" hidden="1" outlineLevel="1" x14ac:dyDescent="0.25">
      <c r="A16" s="81" t="s">
        <v>22</v>
      </c>
      <c r="B16" s="40"/>
      <c r="C16" s="82">
        <f>B182</f>
        <v>0</v>
      </c>
      <c r="D16" s="40"/>
      <c r="I16" s="98"/>
      <c r="N16" s="48"/>
    </row>
    <row r="17" spans="1:14" hidden="1" outlineLevel="1" x14ac:dyDescent="0.25">
      <c r="A17" s="81" t="s">
        <v>79</v>
      </c>
      <c r="B17" s="40"/>
      <c r="C17" s="82"/>
      <c r="D17" s="40"/>
      <c r="I17" s="98"/>
      <c r="N17" s="48"/>
    </row>
    <row r="18" spans="1:14" hidden="1" collapsed="1" x14ac:dyDescent="0.25">
      <c r="A18" s="33"/>
      <c r="B18" s="40"/>
      <c r="C18" s="40"/>
      <c r="D18" s="40"/>
      <c r="I18" s="98"/>
      <c r="N18" s="48"/>
    </row>
    <row r="19" spans="1:14" hidden="1" x14ac:dyDescent="0.25">
      <c r="A19" s="33" t="s">
        <v>122</v>
      </c>
      <c r="B19" s="40">
        <v>0</v>
      </c>
      <c r="C19" s="40"/>
      <c r="D19" s="40">
        <f>C19-B19</f>
        <v>0</v>
      </c>
      <c r="G19" s="95"/>
      <c r="H19" s="95"/>
      <c r="I19" s="98"/>
      <c r="N19" s="48"/>
    </row>
    <row r="20" spans="1:14" hidden="1" x14ac:dyDescent="0.25">
      <c r="A20" s="33" t="s">
        <v>123</v>
      </c>
      <c r="B20" s="40">
        <f>-121.541662578305*B4</f>
        <v>-510.47498282888097</v>
      </c>
      <c r="C20" s="40">
        <f>SUM(C21:C25)</f>
        <v>-554.57942000000003</v>
      </c>
      <c r="D20" s="40">
        <f>C20-B20</f>
        <v>-44.104437171119059</v>
      </c>
      <c r="G20" s="95"/>
      <c r="H20" s="95"/>
      <c r="I20" s="98"/>
      <c r="N20" s="48"/>
    </row>
    <row r="21" spans="1:14" hidden="1" outlineLevel="1" x14ac:dyDescent="0.25">
      <c r="A21" s="81" t="s">
        <v>103</v>
      </c>
      <c r="B21" s="40"/>
      <c r="C21" s="82">
        <f>-(C140+E140)</f>
        <v>-324.53942000000001</v>
      </c>
      <c r="D21" s="40"/>
      <c r="I21" s="98"/>
      <c r="N21" s="48"/>
    </row>
    <row r="22" spans="1:14" hidden="1" outlineLevel="1" x14ac:dyDescent="0.25">
      <c r="A22" s="81" t="s">
        <v>147</v>
      </c>
      <c r="B22" s="40"/>
      <c r="C22" s="82">
        <f>-(E142+E151)-SUM(C158:E158)</f>
        <v>-226.04</v>
      </c>
      <c r="D22" s="40"/>
      <c r="I22" s="98"/>
      <c r="N22" s="48"/>
    </row>
    <row r="23" spans="1:14" hidden="1" outlineLevel="1" x14ac:dyDescent="0.25">
      <c r="A23" s="81" t="s">
        <v>146</v>
      </c>
      <c r="B23" s="40"/>
      <c r="C23" s="82"/>
      <c r="D23" s="40"/>
      <c r="I23" s="98"/>
      <c r="N23" s="48"/>
    </row>
    <row r="24" spans="1:14" hidden="1" outlineLevel="1" x14ac:dyDescent="0.25">
      <c r="A24" s="81" t="s">
        <v>189</v>
      </c>
      <c r="B24" s="40"/>
      <c r="C24" s="82"/>
      <c r="D24" s="40"/>
      <c r="I24" s="98"/>
      <c r="N24" s="48"/>
    </row>
    <row r="25" spans="1:14" hidden="1" outlineLevel="1" x14ac:dyDescent="0.25">
      <c r="A25" s="81" t="s">
        <v>98</v>
      </c>
      <c r="B25" s="40"/>
      <c r="C25" s="82">
        <f>-C161</f>
        <v>-4</v>
      </c>
      <c r="D25" s="40"/>
      <c r="I25" s="98"/>
      <c r="N25" s="48"/>
    </row>
    <row r="26" spans="1:14" hidden="1" collapsed="1" x14ac:dyDescent="0.25">
      <c r="A26" s="52" t="s">
        <v>143</v>
      </c>
      <c r="B26" s="53">
        <v>0</v>
      </c>
      <c r="C26" s="53" t="e">
        <f>SUM(C27:C29)</f>
        <v>#REF!</v>
      </c>
      <c r="D26" s="53" t="e">
        <f>C26-B26</f>
        <v>#REF!</v>
      </c>
      <c r="G26" s="95"/>
      <c r="H26" s="95"/>
      <c r="I26" s="98"/>
      <c r="N26" s="48"/>
    </row>
    <row r="27" spans="1:14" hidden="1" outlineLevel="1" x14ac:dyDescent="0.25">
      <c r="A27" s="81" t="s">
        <v>149</v>
      </c>
      <c r="B27" s="53"/>
      <c r="C27" s="82" t="e">
        <f>-#REF!</f>
        <v>#REF!</v>
      </c>
      <c r="D27" s="53"/>
      <c r="I27" s="98"/>
      <c r="N27" s="48"/>
    </row>
    <row r="28" spans="1:14" hidden="1" outlineLevel="1" x14ac:dyDescent="0.25">
      <c r="A28" s="81" t="s">
        <v>167</v>
      </c>
      <c r="B28" s="53"/>
      <c r="C28" s="82"/>
      <c r="D28" s="53"/>
      <c r="I28" s="98"/>
      <c r="N28" s="48"/>
    </row>
    <row r="29" spans="1:14" hidden="1" outlineLevel="1" x14ac:dyDescent="0.25">
      <c r="A29" s="81" t="s">
        <v>196</v>
      </c>
      <c r="B29" s="53"/>
      <c r="C29" s="82">
        <f>-E188</f>
        <v>0</v>
      </c>
      <c r="D29" s="53"/>
      <c r="I29" s="98"/>
      <c r="N29" s="48"/>
    </row>
    <row r="30" spans="1:14" hidden="1" collapsed="1" x14ac:dyDescent="0.25">
      <c r="A30" s="33" t="s">
        <v>124</v>
      </c>
      <c r="B30" s="40">
        <f>-71.5157508348324*B4</f>
        <v>-300.36615350629609</v>
      </c>
      <c r="C30" s="83" t="e">
        <f>SUM(C31:C71)</f>
        <v>#REF!</v>
      </c>
      <c r="D30" s="40" t="e">
        <f>C30-B30</f>
        <v>#REF!</v>
      </c>
      <c r="G30" s="95"/>
      <c r="H30" s="95"/>
      <c r="I30" s="98"/>
      <c r="N30" s="48"/>
    </row>
    <row r="31" spans="1:14" hidden="1" outlineLevel="1" x14ac:dyDescent="0.25">
      <c r="A31" s="81" t="s">
        <v>29</v>
      </c>
      <c r="B31" s="40"/>
      <c r="C31" s="83">
        <f>-D144</f>
        <v>-70.17192</v>
      </c>
      <c r="D31" s="40"/>
      <c r="I31" s="98"/>
      <c r="N31" s="48"/>
    </row>
    <row r="32" spans="1:14" hidden="1" outlineLevel="1" x14ac:dyDescent="0.25">
      <c r="A32" s="81" t="s">
        <v>9</v>
      </c>
      <c r="B32" s="40"/>
      <c r="C32" s="83"/>
      <c r="D32" s="40"/>
      <c r="I32" s="98"/>
      <c r="N32" s="48"/>
    </row>
    <row r="33" spans="1:14" hidden="1" outlineLevel="1" x14ac:dyDescent="0.25">
      <c r="A33" s="81" t="s">
        <v>111</v>
      </c>
      <c r="B33" s="40"/>
      <c r="C33" s="83"/>
      <c r="D33" s="40"/>
      <c r="I33" s="98"/>
      <c r="N33" s="48"/>
    </row>
    <row r="34" spans="1:14" hidden="1" outlineLevel="1" x14ac:dyDescent="0.25">
      <c r="A34" s="81" t="s">
        <v>45</v>
      </c>
      <c r="B34" s="40"/>
      <c r="C34" s="83"/>
      <c r="D34" s="40"/>
      <c r="I34" s="98"/>
      <c r="N34" s="48"/>
    </row>
    <row r="35" spans="1:14" hidden="1" outlineLevel="1" x14ac:dyDescent="0.25">
      <c r="A35" s="81" t="s">
        <v>52</v>
      </c>
      <c r="B35" s="40"/>
      <c r="C35" s="83">
        <f>-E148</f>
        <v>0</v>
      </c>
      <c r="D35" s="40"/>
      <c r="I35" s="98"/>
      <c r="N35" s="48"/>
    </row>
    <row r="36" spans="1:14" hidden="1" outlineLevel="1" x14ac:dyDescent="0.25">
      <c r="A36" s="81" t="s">
        <v>183</v>
      </c>
      <c r="B36" s="40"/>
      <c r="C36" s="83">
        <f>-E175</f>
        <v>0</v>
      </c>
      <c r="D36" s="40"/>
      <c r="I36" s="98"/>
      <c r="N36" s="48"/>
    </row>
    <row r="37" spans="1:14" hidden="1" outlineLevel="1" x14ac:dyDescent="0.25">
      <c r="A37" s="81" t="s">
        <v>56</v>
      </c>
      <c r="B37" s="40"/>
      <c r="C37" s="83"/>
      <c r="D37" s="40"/>
      <c r="I37" s="98"/>
      <c r="N37" s="48"/>
    </row>
    <row r="38" spans="1:14" hidden="1" outlineLevel="1" x14ac:dyDescent="0.25">
      <c r="A38" s="81" t="s">
        <v>12</v>
      </c>
      <c r="B38" s="40"/>
      <c r="C38" s="83" t="e">
        <f>-(C149+#REF!)</f>
        <v>#REF!</v>
      </c>
      <c r="D38" s="40"/>
      <c r="I38" s="98"/>
      <c r="N38" s="48"/>
    </row>
    <row r="39" spans="1:14" hidden="1" outlineLevel="1" x14ac:dyDescent="0.25">
      <c r="A39" s="81" t="s">
        <v>68</v>
      </c>
      <c r="B39" s="40"/>
      <c r="C39" s="83">
        <f>-SUM(B153:E153)</f>
        <v>-17.825209999999998</v>
      </c>
      <c r="D39" s="40"/>
      <c r="I39" s="98"/>
      <c r="N39" s="48"/>
    </row>
    <row r="40" spans="1:14" hidden="1" outlineLevel="1" x14ac:dyDescent="0.25">
      <c r="A40" s="81" t="s">
        <v>42</v>
      </c>
      <c r="B40" s="40"/>
      <c r="C40" s="83">
        <f>-SUM(B162:E162)</f>
        <v>0</v>
      </c>
      <c r="D40" s="40"/>
      <c r="I40" s="98"/>
      <c r="N40" s="48"/>
    </row>
    <row r="41" spans="1:14" hidden="1" outlineLevel="1" x14ac:dyDescent="0.25">
      <c r="A41" s="81" t="s">
        <v>76</v>
      </c>
      <c r="B41" s="40"/>
      <c r="C41" s="83">
        <f>-SUM(E163:E163)</f>
        <v>0</v>
      </c>
      <c r="D41" s="40"/>
      <c r="I41" s="98"/>
      <c r="N41" s="48"/>
    </row>
    <row r="42" spans="1:14" hidden="1" outlineLevel="1" x14ac:dyDescent="0.25">
      <c r="A42" s="81" t="s">
        <v>30</v>
      </c>
      <c r="B42" s="40"/>
      <c r="C42" s="83">
        <f>-SUM(E164:E164)</f>
        <v>-4.0186099999999998</v>
      </c>
      <c r="D42" s="40"/>
      <c r="I42" s="98"/>
      <c r="N42" s="48"/>
    </row>
    <row r="43" spans="1:14" hidden="1" outlineLevel="1" x14ac:dyDescent="0.25">
      <c r="A43" s="81" t="s">
        <v>15</v>
      </c>
      <c r="B43" s="40"/>
      <c r="C43" s="83">
        <f>-SUM(B165:E165)</f>
        <v>-12.14701</v>
      </c>
      <c r="D43" s="40"/>
      <c r="I43" s="98"/>
      <c r="N43" s="48"/>
    </row>
    <row r="44" spans="1:14" hidden="1" outlineLevel="1" x14ac:dyDescent="0.25">
      <c r="A44" s="81" t="s">
        <v>165</v>
      </c>
      <c r="B44" s="40"/>
      <c r="C44" s="83" t="e">
        <f>-#REF!</f>
        <v>#REF!</v>
      </c>
      <c r="D44" s="40"/>
      <c r="I44" s="98"/>
      <c r="N44" s="48"/>
    </row>
    <row r="45" spans="1:14" hidden="1" outlineLevel="1" x14ac:dyDescent="0.25">
      <c r="A45" s="81" t="s">
        <v>168</v>
      </c>
      <c r="B45" s="40"/>
      <c r="C45" s="83"/>
      <c r="D45" s="40"/>
      <c r="I45" s="98"/>
      <c r="N45" s="48"/>
    </row>
    <row r="46" spans="1:14" hidden="1" outlineLevel="1" x14ac:dyDescent="0.25">
      <c r="A46" s="81" t="s">
        <v>24</v>
      </c>
      <c r="B46" s="40"/>
      <c r="C46" s="83">
        <f>-SUM(C152:E152)</f>
        <v>0</v>
      </c>
      <c r="D46" s="40"/>
      <c r="I46" s="98"/>
      <c r="N46" s="48"/>
    </row>
    <row r="47" spans="1:14" hidden="1" outlineLevel="1" x14ac:dyDescent="0.25">
      <c r="A47" s="81" t="s">
        <v>25</v>
      </c>
      <c r="B47" s="40"/>
      <c r="C47" s="40">
        <f>-SUM(C198:E198)</f>
        <v>0</v>
      </c>
      <c r="D47" s="40"/>
      <c r="I47" s="49"/>
      <c r="N47" s="48"/>
    </row>
    <row r="48" spans="1:14" hidden="1" outlineLevel="1" x14ac:dyDescent="0.25">
      <c r="A48" s="81" t="s">
        <v>23</v>
      </c>
      <c r="B48" s="40"/>
      <c r="C48" s="83">
        <f>-SUM(D171:E171)</f>
        <v>0</v>
      </c>
      <c r="D48" s="40"/>
      <c r="I48" s="98"/>
      <c r="N48" s="48"/>
    </row>
    <row r="49" spans="1:14" hidden="1" outlineLevel="1" x14ac:dyDescent="0.25">
      <c r="A49" s="81" t="s">
        <v>35</v>
      </c>
      <c r="B49" s="40"/>
      <c r="C49" s="83"/>
      <c r="D49" s="40"/>
      <c r="I49" s="98"/>
      <c r="N49" s="48"/>
    </row>
    <row r="50" spans="1:14" hidden="1" outlineLevel="1" x14ac:dyDescent="0.25">
      <c r="A50" s="81" t="s">
        <v>40</v>
      </c>
      <c r="B50" s="40"/>
      <c r="C50" s="83"/>
      <c r="D50" s="40"/>
      <c r="I50" s="98"/>
      <c r="N50" s="48"/>
    </row>
    <row r="51" spans="1:14" hidden="1" outlineLevel="1" x14ac:dyDescent="0.25">
      <c r="A51" s="81" t="s">
        <v>91</v>
      </c>
      <c r="B51" s="40"/>
      <c r="C51" s="83"/>
      <c r="D51" s="40"/>
      <c r="I51" s="98"/>
      <c r="N51" s="48"/>
    </row>
    <row r="52" spans="1:14" hidden="1" outlineLevel="1" x14ac:dyDescent="0.25">
      <c r="A52" s="81" t="s">
        <v>100</v>
      </c>
      <c r="B52" s="40"/>
      <c r="C52" s="83"/>
      <c r="D52" s="40"/>
      <c r="I52" s="98"/>
      <c r="N52" s="48"/>
    </row>
    <row r="53" spans="1:14" hidden="1" outlineLevel="1" x14ac:dyDescent="0.25">
      <c r="A53" s="81" t="s">
        <v>13</v>
      </c>
      <c r="B53" s="40"/>
      <c r="C53" s="83">
        <f>-SUM(B167:E167)</f>
        <v>-15.208269999999999</v>
      </c>
      <c r="D53" s="40"/>
      <c r="I53" s="98"/>
      <c r="N53" s="48"/>
    </row>
    <row r="54" spans="1:14" hidden="1" outlineLevel="1" x14ac:dyDescent="0.25">
      <c r="A54" s="81" t="s">
        <v>41</v>
      </c>
      <c r="B54" s="40"/>
      <c r="C54" s="83">
        <f>-SUM(B168:E168)</f>
        <v>-1.1838500000000001</v>
      </c>
      <c r="D54" s="40"/>
      <c r="I54" s="98"/>
      <c r="N54" s="48"/>
    </row>
    <row r="55" spans="1:14" hidden="1" outlineLevel="1" x14ac:dyDescent="0.25">
      <c r="A55" s="81" t="s">
        <v>36</v>
      </c>
      <c r="B55" s="40"/>
      <c r="C55" s="83">
        <f>-SUM(B169:E169)</f>
        <v>-0.42016999999999999</v>
      </c>
      <c r="D55" s="40"/>
      <c r="I55" s="98"/>
      <c r="N55" s="48"/>
    </row>
    <row r="56" spans="1:14" hidden="1" outlineLevel="1" x14ac:dyDescent="0.25">
      <c r="A56" s="81" t="s">
        <v>62</v>
      </c>
      <c r="B56" s="40"/>
      <c r="C56" s="83"/>
      <c r="D56" s="40"/>
      <c r="I56" s="98"/>
      <c r="N56" s="48"/>
    </row>
    <row r="57" spans="1:14" hidden="1" outlineLevel="1" x14ac:dyDescent="0.25">
      <c r="A57" s="81" t="s">
        <v>54</v>
      </c>
      <c r="B57" s="40"/>
      <c r="C57" s="83">
        <f>-SUM(C170:E170)</f>
        <v>0</v>
      </c>
      <c r="D57" s="40"/>
      <c r="I57" s="98"/>
      <c r="N57" s="48"/>
    </row>
    <row r="58" spans="1:14" hidden="1" outlineLevel="1" x14ac:dyDescent="0.25">
      <c r="A58" s="81" t="s">
        <v>166</v>
      </c>
      <c r="B58" s="40"/>
      <c r="C58" s="83"/>
      <c r="D58" s="40"/>
      <c r="I58" s="98"/>
      <c r="N58" s="48"/>
    </row>
    <row r="59" spans="1:14" hidden="1" outlineLevel="1" x14ac:dyDescent="0.25">
      <c r="A59" s="81" t="s">
        <v>48</v>
      </c>
      <c r="B59" s="40"/>
      <c r="C59" s="83"/>
      <c r="D59" s="40"/>
      <c r="I59" s="98"/>
      <c r="N59" s="48"/>
    </row>
    <row r="60" spans="1:14" hidden="1" outlineLevel="1" x14ac:dyDescent="0.25">
      <c r="A60" s="81" t="s">
        <v>73</v>
      </c>
      <c r="B60" s="40"/>
      <c r="C60" s="83">
        <f>-SUM(C147:E147)</f>
        <v>-0.40479999999999999</v>
      </c>
      <c r="D60" s="40"/>
      <c r="I60" s="98"/>
      <c r="N60" s="48"/>
    </row>
    <row r="61" spans="1:14" hidden="1" outlineLevel="1" x14ac:dyDescent="0.25">
      <c r="A61" s="81" t="s">
        <v>66</v>
      </c>
      <c r="B61" s="40"/>
      <c r="C61" s="83">
        <f>-SUM(B174:E174)</f>
        <v>0</v>
      </c>
      <c r="D61" s="40"/>
      <c r="I61" s="98"/>
      <c r="N61" s="48"/>
    </row>
    <row r="62" spans="1:14" hidden="1" outlineLevel="1" x14ac:dyDescent="0.25">
      <c r="A62" s="81" t="s">
        <v>80</v>
      </c>
      <c r="B62" s="40"/>
      <c r="C62" s="83">
        <f>-SUM(B193:E193)</f>
        <v>0</v>
      </c>
      <c r="D62" s="40"/>
      <c r="I62" s="98"/>
      <c r="N62" s="48"/>
    </row>
    <row r="63" spans="1:14" hidden="1" outlineLevel="1" x14ac:dyDescent="0.25">
      <c r="A63" s="81" t="s">
        <v>171</v>
      </c>
      <c r="B63" s="40"/>
      <c r="C63" s="83"/>
      <c r="D63" s="40"/>
      <c r="I63" s="98"/>
      <c r="N63" s="48"/>
    </row>
    <row r="64" spans="1:14" hidden="1" outlineLevel="1" x14ac:dyDescent="0.25">
      <c r="A64" s="81" t="s">
        <v>28</v>
      </c>
      <c r="B64" s="40"/>
      <c r="C64" s="83"/>
      <c r="D64" s="40"/>
      <c r="I64" s="98"/>
      <c r="N64" s="48"/>
    </row>
    <row r="65" spans="1:14" hidden="1" outlineLevel="1" x14ac:dyDescent="0.25">
      <c r="A65" s="81" t="s">
        <v>210</v>
      </c>
      <c r="B65" s="40"/>
      <c r="C65" s="83">
        <f>-SUM(C190:E190)</f>
        <v>0</v>
      </c>
      <c r="D65" s="40"/>
      <c r="I65" s="98"/>
      <c r="N65" s="48"/>
    </row>
    <row r="66" spans="1:14" hidden="1" outlineLevel="1" x14ac:dyDescent="0.25">
      <c r="A66" s="81" t="s">
        <v>188</v>
      </c>
      <c r="B66" s="40"/>
      <c r="C66" s="83"/>
      <c r="D66" s="40"/>
      <c r="I66" s="98"/>
      <c r="N66" s="48"/>
    </row>
    <row r="67" spans="1:14" hidden="1" outlineLevel="1" x14ac:dyDescent="0.25">
      <c r="A67" s="81" t="s">
        <v>208</v>
      </c>
      <c r="B67" s="40"/>
      <c r="C67" s="83">
        <f>-SUM(B184:E184)</f>
        <v>0</v>
      </c>
      <c r="D67" s="40"/>
      <c r="I67" s="98"/>
      <c r="N67" s="48"/>
    </row>
    <row r="68" spans="1:14" hidden="1" outlineLevel="1" x14ac:dyDescent="0.25">
      <c r="A68" s="81" t="s">
        <v>211</v>
      </c>
      <c r="B68" s="40"/>
      <c r="C68" s="83">
        <f>-SUM(D180:E180)</f>
        <v>0</v>
      </c>
      <c r="D68" s="40"/>
      <c r="I68" s="98"/>
      <c r="N68" s="48"/>
    </row>
    <row r="69" spans="1:14" hidden="1" outlineLevel="1" x14ac:dyDescent="0.25">
      <c r="A69" s="81" t="s">
        <v>182</v>
      </c>
      <c r="B69" s="40"/>
      <c r="C69" s="83"/>
      <c r="D69" s="40"/>
      <c r="I69" s="98"/>
      <c r="N69" s="48"/>
    </row>
    <row r="70" spans="1:14" hidden="1" outlineLevel="1" x14ac:dyDescent="0.25">
      <c r="A70" s="104" t="s">
        <v>195</v>
      </c>
      <c r="B70" s="105"/>
      <c r="C70" s="105">
        <f>-SUM(C160:E160)</f>
        <v>0</v>
      </c>
      <c r="D70" s="40"/>
      <c r="I70" s="98"/>
      <c r="N70" s="48"/>
    </row>
    <row r="71" spans="1:14" hidden="1" outlineLevel="1" x14ac:dyDescent="0.25">
      <c r="A71" s="84" t="s">
        <v>150</v>
      </c>
      <c r="B71" s="41"/>
      <c r="C71" s="62">
        <f>-SUM(C157:E157)</f>
        <v>0</v>
      </c>
      <c r="D71" s="41"/>
      <c r="I71" s="98"/>
      <c r="N71" s="48"/>
    </row>
    <row r="72" spans="1:14" hidden="1" collapsed="1" x14ac:dyDescent="0.25">
      <c r="A72" s="34"/>
      <c r="B72" s="40"/>
      <c r="C72" s="40"/>
      <c r="D72" s="40"/>
      <c r="I72" s="98"/>
      <c r="N72" s="48"/>
    </row>
    <row r="73" spans="1:14" hidden="1" x14ac:dyDescent="0.25">
      <c r="A73" s="35" t="s">
        <v>134</v>
      </c>
      <c r="B73" s="42">
        <f>B9+B14+B19+B20+B26+B30</f>
        <v>-455.94113633517702</v>
      </c>
      <c r="C73" s="42" t="e">
        <f>C9+C14+C19+C20+C26+C30</f>
        <v>#REF!</v>
      </c>
      <c r="D73" s="42" t="e">
        <f>D9+D14+D19+D20+D26+D30</f>
        <v>#REF!</v>
      </c>
      <c r="G73" s="95"/>
      <c r="H73" s="95"/>
      <c r="I73" s="98"/>
      <c r="N73" s="48"/>
    </row>
    <row r="74" spans="1:14" s="1" customFormat="1" hidden="1" x14ac:dyDescent="0.25">
      <c r="A74" s="34"/>
      <c r="B74" s="40"/>
      <c r="C74" s="40"/>
      <c r="D74" s="40"/>
      <c r="I74" s="98"/>
      <c r="N74" s="49"/>
    </row>
    <row r="75" spans="1:14" s="1" customFormat="1" hidden="1" x14ac:dyDescent="0.25">
      <c r="A75" s="31" t="s">
        <v>125</v>
      </c>
      <c r="B75" s="43">
        <f>-59.33*B4</f>
        <v>-249.18600000000001</v>
      </c>
      <c r="C75" s="43">
        <f>SUM(C76:C79)</f>
        <v>0</v>
      </c>
      <c r="D75" s="43">
        <f>C75-B75</f>
        <v>249.18600000000001</v>
      </c>
      <c r="G75" s="93"/>
      <c r="H75" s="93"/>
      <c r="I75" s="98"/>
      <c r="N75" s="49"/>
    </row>
    <row r="76" spans="1:14" s="1" customFormat="1" hidden="1" outlineLevel="1" x14ac:dyDescent="0.25">
      <c r="A76" s="81" t="s">
        <v>53</v>
      </c>
      <c r="B76" s="40"/>
      <c r="C76" s="40"/>
      <c r="D76" s="40"/>
      <c r="I76" s="98"/>
      <c r="N76" s="49"/>
    </row>
    <row r="77" spans="1:14" s="1" customFormat="1" hidden="1" outlineLevel="1" x14ac:dyDescent="0.25">
      <c r="A77" s="81" t="s">
        <v>148</v>
      </c>
      <c r="B77" s="40"/>
      <c r="C77" s="40"/>
      <c r="D77" s="40"/>
      <c r="I77" s="98"/>
      <c r="N77" s="49"/>
    </row>
    <row r="78" spans="1:14" s="1" customFormat="1" hidden="1" outlineLevel="1" x14ac:dyDescent="0.25">
      <c r="A78" s="81" t="s">
        <v>209</v>
      </c>
      <c r="B78" s="40"/>
      <c r="C78" s="40">
        <f>-SUM(B183:E183)</f>
        <v>0</v>
      </c>
      <c r="D78" s="40"/>
      <c r="I78" s="98"/>
      <c r="N78" s="49"/>
    </row>
    <row r="79" spans="1:14" s="1" customFormat="1" hidden="1" outlineLevel="1" x14ac:dyDescent="0.25">
      <c r="A79" s="81" t="s">
        <v>151</v>
      </c>
      <c r="B79" s="40"/>
      <c r="C79" s="40"/>
      <c r="D79" s="40"/>
      <c r="I79" s="98"/>
      <c r="N79" s="49"/>
    </row>
    <row r="80" spans="1:14" hidden="1" collapsed="1" x14ac:dyDescent="0.25">
      <c r="A80" s="33" t="s">
        <v>126</v>
      </c>
      <c r="B80" s="40">
        <f>8.0231620925531*B4</f>
        <v>33.69728078872302</v>
      </c>
      <c r="C80" s="40">
        <f>SUM(C81:C86)</f>
        <v>-10</v>
      </c>
      <c r="D80" s="40">
        <f>C80-B80</f>
        <v>-43.69728078872302</v>
      </c>
      <c r="G80" s="95"/>
      <c r="H80" s="95"/>
      <c r="I80" s="98"/>
      <c r="N80" s="48"/>
    </row>
    <row r="81" spans="1:14" hidden="1" outlineLevel="1" x14ac:dyDescent="0.25">
      <c r="A81" s="81" t="s">
        <v>152</v>
      </c>
      <c r="B81" s="40"/>
      <c r="C81" s="40">
        <f>-E143</f>
        <v>0</v>
      </c>
      <c r="D81" s="40"/>
      <c r="I81" s="98"/>
      <c r="N81" s="48"/>
    </row>
    <row r="82" spans="1:14" hidden="1" outlineLevel="1" x14ac:dyDescent="0.25">
      <c r="A82" s="81" t="s">
        <v>10</v>
      </c>
      <c r="B82" s="40"/>
      <c r="C82" s="40">
        <f>-SUM(B146:E146)</f>
        <v>-10</v>
      </c>
      <c r="D82" s="40"/>
      <c r="I82" s="98"/>
      <c r="N82" s="48"/>
    </row>
    <row r="83" spans="1:14" hidden="1" outlineLevel="1" x14ac:dyDescent="0.25">
      <c r="A83" s="81" t="s">
        <v>43</v>
      </c>
      <c r="B83" s="40"/>
      <c r="C83" s="40">
        <f>-B195</f>
        <v>0</v>
      </c>
      <c r="D83" s="40"/>
      <c r="I83" s="98"/>
      <c r="N83" s="48"/>
    </row>
    <row r="84" spans="1:14" hidden="1" outlineLevel="1" x14ac:dyDescent="0.25">
      <c r="A84" s="81" t="s">
        <v>194</v>
      </c>
      <c r="B84" s="40"/>
      <c r="C84" s="40">
        <f>B136-B189</f>
        <v>0</v>
      </c>
      <c r="D84" s="40"/>
      <c r="I84" s="98"/>
      <c r="N84" s="48"/>
    </row>
    <row r="85" spans="1:14" hidden="1" outlineLevel="1" x14ac:dyDescent="0.25">
      <c r="A85" s="81" t="s">
        <v>212</v>
      </c>
      <c r="B85" s="40"/>
      <c r="C85" s="40">
        <f>SUM(B135:E135)</f>
        <v>0</v>
      </c>
      <c r="D85" s="40"/>
      <c r="I85" s="98"/>
      <c r="N85" s="48"/>
    </row>
    <row r="86" spans="1:14" hidden="1" outlineLevel="1" x14ac:dyDescent="0.25">
      <c r="A86" s="81" t="s">
        <v>109</v>
      </c>
      <c r="B86" s="40"/>
      <c r="C86" s="40">
        <f>-SUM(C145:E145)</f>
        <v>0</v>
      </c>
      <c r="D86" s="40"/>
      <c r="I86" s="98"/>
      <c r="N86" s="48"/>
    </row>
    <row r="87" spans="1:14" hidden="1" collapsed="1" x14ac:dyDescent="0.25">
      <c r="A87" s="33" t="s">
        <v>127</v>
      </c>
      <c r="B87" s="40">
        <f>-1.11999972306073*B4</f>
        <v>-4.7039988368550656</v>
      </c>
      <c r="C87" s="40"/>
      <c r="D87" s="40">
        <f t="shared" ref="D87:D88" si="0">C87-B87</f>
        <v>4.7039988368550656</v>
      </c>
      <c r="G87" s="95"/>
      <c r="H87" s="95"/>
      <c r="I87" s="98"/>
      <c r="N87" s="48"/>
    </row>
    <row r="88" spans="1:14" hidden="1" x14ac:dyDescent="0.25">
      <c r="A88" s="33" t="s">
        <v>128</v>
      </c>
      <c r="B88" s="40">
        <v>0</v>
      </c>
      <c r="C88" s="40"/>
      <c r="D88" s="40">
        <f t="shared" si="0"/>
        <v>0</v>
      </c>
      <c r="G88" s="95"/>
      <c r="H88" s="95"/>
      <c r="I88" s="98"/>
      <c r="N88" s="48"/>
    </row>
    <row r="89" spans="1:14" hidden="1" x14ac:dyDescent="0.25">
      <c r="A89" s="33" t="s">
        <v>129</v>
      </c>
      <c r="B89" s="40">
        <f>8.31321479356027*B4</f>
        <v>34.915502132953137</v>
      </c>
      <c r="C89" s="40">
        <f>SUM(C90:C91)</f>
        <v>68.247</v>
      </c>
      <c r="D89" s="40">
        <f>C89-B89</f>
        <v>33.331497867046863</v>
      </c>
      <c r="G89" s="95"/>
      <c r="H89" s="95"/>
      <c r="I89" s="49"/>
      <c r="N89" s="48"/>
    </row>
    <row r="90" spans="1:14" hidden="1" outlineLevel="1" x14ac:dyDescent="0.25">
      <c r="A90" s="81" t="s">
        <v>59</v>
      </c>
      <c r="B90" s="40"/>
      <c r="C90" s="40">
        <f>SUM(B131:E131)</f>
        <v>68.247</v>
      </c>
      <c r="D90" s="40"/>
      <c r="I90" s="49"/>
      <c r="N90" s="48"/>
    </row>
    <row r="91" spans="1:14" hidden="1" outlineLevel="1" x14ac:dyDescent="0.25">
      <c r="A91" s="84" t="s">
        <v>145</v>
      </c>
      <c r="B91" s="41"/>
      <c r="C91" s="41">
        <f>-SUM(B150:E150)</f>
        <v>0</v>
      </c>
      <c r="D91" s="41"/>
      <c r="I91" s="49"/>
      <c r="N91" s="48"/>
    </row>
    <row r="92" spans="1:14" hidden="1" collapsed="1" x14ac:dyDescent="0.25">
      <c r="A92" s="34"/>
      <c r="B92" s="40"/>
      <c r="C92" s="40"/>
      <c r="D92" s="40"/>
      <c r="I92" s="49"/>
      <c r="N92" s="48"/>
    </row>
    <row r="93" spans="1:14" hidden="1" x14ac:dyDescent="0.25">
      <c r="A93" s="35" t="s">
        <v>135</v>
      </c>
      <c r="B93" s="42">
        <f>B75+B80+B87+B88+B89</f>
        <v>-185.27721591517894</v>
      </c>
      <c r="C93" s="42">
        <f>C75+C80+C89+C88+C87</f>
        <v>58.247</v>
      </c>
      <c r="D93" s="42">
        <f>D75+D80+D87+D88+D89</f>
        <v>243.52421591517893</v>
      </c>
      <c r="G93" s="95"/>
      <c r="H93" s="95"/>
      <c r="I93" s="49"/>
      <c r="N93" s="48"/>
    </row>
    <row r="94" spans="1:14" hidden="1" x14ac:dyDescent="0.25">
      <c r="A94" s="36"/>
      <c r="B94" s="44"/>
      <c r="C94" s="44"/>
      <c r="D94" s="44"/>
      <c r="I94" s="49"/>
      <c r="N94" s="48"/>
    </row>
    <row r="95" spans="1:14" hidden="1" x14ac:dyDescent="0.25">
      <c r="A95" s="37" t="s">
        <v>136</v>
      </c>
      <c r="B95" s="45">
        <f>B93+B73</f>
        <v>-641.21835225035602</v>
      </c>
      <c r="C95" s="45" t="e">
        <f>C93+C73</f>
        <v>#REF!</v>
      </c>
      <c r="D95" s="45" t="e">
        <f t="shared" ref="D95" si="1">D93+D73</f>
        <v>#REF!</v>
      </c>
      <c r="G95" s="95"/>
      <c r="H95" s="95"/>
      <c r="I95" s="49"/>
      <c r="N95" s="48"/>
    </row>
    <row r="96" spans="1:14" hidden="1" x14ac:dyDescent="0.25">
      <c r="A96" s="34"/>
      <c r="B96" s="44"/>
      <c r="C96" s="44"/>
      <c r="D96" s="44"/>
      <c r="I96" s="49"/>
      <c r="N96" s="48"/>
    </row>
    <row r="97" spans="1:14" hidden="1" x14ac:dyDescent="0.25">
      <c r="A97" s="31" t="s">
        <v>130</v>
      </c>
      <c r="B97" s="43">
        <v>0</v>
      </c>
      <c r="C97" s="43"/>
      <c r="D97" s="43"/>
      <c r="I97" s="49"/>
      <c r="N97" s="48"/>
    </row>
    <row r="98" spans="1:14" hidden="1" x14ac:dyDescent="0.25">
      <c r="A98" s="33" t="s">
        <v>131</v>
      </c>
      <c r="B98" s="40">
        <v>0</v>
      </c>
      <c r="C98" s="40"/>
      <c r="D98" s="40"/>
      <c r="I98" s="49"/>
      <c r="N98" s="48"/>
    </row>
    <row r="99" spans="1:14" hidden="1" x14ac:dyDescent="0.25">
      <c r="A99" s="33" t="s">
        <v>132</v>
      </c>
      <c r="B99" s="40">
        <v>0</v>
      </c>
      <c r="C99" s="40"/>
      <c r="D99" s="40"/>
      <c r="I99" s="49"/>
      <c r="N99" s="48"/>
    </row>
    <row r="100" spans="1:14" hidden="1" x14ac:dyDescent="0.25">
      <c r="A100" s="33" t="s">
        <v>133</v>
      </c>
      <c r="B100" s="40">
        <f>-42.75*B4</f>
        <v>-179.55</v>
      </c>
      <c r="C100" s="40">
        <f>SUM(C101:C109)</f>
        <v>-3</v>
      </c>
      <c r="D100" s="40">
        <f>C100-B100</f>
        <v>176.55</v>
      </c>
      <c r="G100" s="95"/>
      <c r="H100" s="95"/>
      <c r="I100" s="49"/>
      <c r="N100" s="48"/>
    </row>
    <row r="101" spans="1:14" hidden="1" outlineLevel="1" x14ac:dyDescent="0.25">
      <c r="A101" s="81" t="s">
        <v>80</v>
      </c>
      <c r="B101" s="40"/>
      <c r="C101" s="40"/>
      <c r="D101" s="40"/>
      <c r="I101" s="49"/>
      <c r="N101" s="48"/>
    </row>
    <row r="102" spans="1:14" hidden="1" outlineLevel="1" x14ac:dyDescent="0.25">
      <c r="A102" s="81" t="s">
        <v>9</v>
      </c>
      <c r="B102" s="40"/>
      <c r="C102" s="40"/>
      <c r="D102" s="40"/>
      <c r="I102" s="49"/>
      <c r="N102" s="48"/>
    </row>
    <row r="103" spans="1:14" hidden="1" outlineLevel="1" x14ac:dyDescent="0.25">
      <c r="A103" s="81" t="s">
        <v>73</v>
      </c>
      <c r="B103" s="40"/>
      <c r="C103" s="40"/>
      <c r="D103" s="40"/>
      <c r="I103" s="49"/>
      <c r="N103" s="48"/>
    </row>
    <row r="104" spans="1:14" hidden="1" outlineLevel="1" x14ac:dyDescent="0.25">
      <c r="A104" s="81" t="s">
        <v>62</v>
      </c>
      <c r="B104" s="40"/>
      <c r="C104" s="40"/>
      <c r="D104" s="40"/>
      <c r="I104" s="49"/>
      <c r="N104" s="48"/>
    </row>
    <row r="105" spans="1:14" hidden="1" outlineLevel="1" x14ac:dyDescent="0.25">
      <c r="A105" s="81" t="s">
        <v>24</v>
      </c>
      <c r="B105" s="40"/>
      <c r="C105" s="40"/>
      <c r="D105" s="40"/>
      <c r="I105" s="49"/>
      <c r="N105" s="48"/>
    </row>
    <row r="106" spans="1:14" hidden="1" outlineLevel="1" x14ac:dyDescent="0.25">
      <c r="A106" s="81" t="s">
        <v>68</v>
      </c>
      <c r="B106" s="40"/>
      <c r="C106" s="40"/>
      <c r="D106" s="40"/>
      <c r="I106" s="49"/>
      <c r="N106" s="48"/>
    </row>
    <row r="107" spans="1:14" hidden="1" outlineLevel="1" x14ac:dyDescent="0.25">
      <c r="A107" s="81" t="s">
        <v>25</v>
      </c>
      <c r="B107" s="40"/>
      <c r="C107" s="40"/>
      <c r="D107" s="40"/>
      <c r="I107" s="49"/>
      <c r="N107" s="48"/>
    </row>
    <row r="108" spans="1:14" hidden="1" outlineLevel="1" x14ac:dyDescent="0.25">
      <c r="A108" s="81" t="s">
        <v>94</v>
      </c>
      <c r="B108" s="40"/>
      <c r="C108" s="40"/>
      <c r="D108" s="40"/>
      <c r="I108" s="49"/>
      <c r="N108" s="48"/>
    </row>
    <row r="109" spans="1:14" hidden="1" outlineLevel="1" x14ac:dyDescent="0.25">
      <c r="A109" s="84" t="s">
        <v>164</v>
      </c>
      <c r="B109" s="41"/>
      <c r="C109" s="41">
        <f>-SUM(D166:E166)</f>
        <v>-3</v>
      </c>
      <c r="D109" s="41"/>
      <c r="I109" s="49"/>
      <c r="N109" s="48"/>
    </row>
    <row r="110" spans="1:14" hidden="1" collapsed="1" x14ac:dyDescent="0.25">
      <c r="A110" s="34"/>
      <c r="B110" s="44"/>
      <c r="C110" s="44"/>
      <c r="D110" s="44"/>
      <c r="I110" s="49"/>
      <c r="N110" s="48"/>
    </row>
    <row r="111" spans="1:14" hidden="1" x14ac:dyDescent="0.25">
      <c r="A111" s="35" t="s">
        <v>137</v>
      </c>
      <c r="B111" s="42">
        <f>SUM(B97:B100)</f>
        <v>-179.55</v>
      </c>
      <c r="C111" s="42">
        <f>SUM(C97:C100)</f>
        <v>-3</v>
      </c>
      <c r="D111" s="42">
        <f>SUM(D97:D100)</f>
        <v>176.55</v>
      </c>
      <c r="G111" s="95"/>
      <c r="H111" s="95"/>
      <c r="I111" s="49"/>
      <c r="N111" s="48"/>
    </row>
    <row r="112" spans="1:14" hidden="1" x14ac:dyDescent="0.25">
      <c r="A112" s="34"/>
      <c r="B112" s="44"/>
      <c r="C112" s="44"/>
      <c r="D112" s="44"/>
      <c r="I112" s="49"/>
      <c r="N112" s="48"/>
    </row>
    <row r="113" spans="1:14" hidden="1" x14ac:dyDescent="0.25">
      <c r="A113" s="37" t="s">
        <v>138</v>
      </c>
      <c r="B113" s="45">
        <f>B111+B95</f>
        <v>-820.76835225035597</v>
      </c>
      <c r="C113" s="45" t="e">
        <f>C111+C95</f>
        <v>#REF!</v>
      </c>
      <c r="D113" s="45" t="e">
        <f>D111+D95</f>
        <v>#REF!</v>
      </c>
      <c r="G113" s="95"/>
      <c r="H113" s="95"/>
      <c r="I113" s="49"/>
      <c r="N113" s="48"/>
    </row>
    <row r="114" spans="1:14" hidden="1" x14ac:dyDescent="0.25">
      <c r="C114" s="92"/>
      <c r="I114" s="49"/>
      <c r="J114" s="48"/>
      <c r="K114" s="48"/>
      <c r="L114" s="48"/>
      <c r="M114" s="48"/>
      <c r="N114" s="48"/>
    </row>
    <row r="115" spans="1:14" hidden="1" x14ac:dyDescent="0.25">
      <c r="C115" s="92"/>
      <c r="I115" s="49"/>
      <c r="J115" s="48"/>
      <c r="K115" s="48"/>
      <c r="L115" s="48"/>
      <c r="M115" s="48"/>
      <c r="N115" s="48"/>
    </row>
    <row r="116" spans="1:14" hidden="1" x14ac:dyDescent="0.25">
      <c r="C116" s="93"/>
      <c r="I116" s="49"/>
      <c r="J116" s="48"/>
      <c r="K116" s="48"/>
      <c r="L116" s="48"/>
      <c r="M116" s="48"/>
      <c r="N116" s="48"/>
    </row>
    <row r="117" spans="1:14" hidden="1" x14ac:dyDescent="0.25">
      <c r="I117" s="49"/>
      <c r="J117" s="48"/>
      <c r="K117" s="48"/>
      <c r="L117" s="48"/>
      <c r="M117" s="48"/>
      <c r="N117" s="48"/>
    </row>
    <row r="118" spans="1:14" hidden="1" x14ac:dyDescent="0.25">
      <c r="I118" s="49"/>
      <c r="J118" s="48"/>
      <c r="K118" s="48"/>
      <c r="L118" s="48"/>
      <c r="M118" s="48"/>
      <c r="N118" s="48"/>
    </row>
    <row r="119" spans="1:14" x14ac:dyDescent="0.25">
      <c r="A119" s="2" t="s">
        <v>6</v>
      </c>
      <c r="B119" s="13">
        <v>27</v>
      </c>
      <c r="C119" s="13">
        <v>28</v>
      </c>
      <c r="D119" s="13">
        <v>29</v>
      </c>
      <c r="E119" s="13">
        <v>30</v>
      </c>
      <c r="H119" s="16">
        <v>2017</v>
      </c>
      <c r="I119" s="49"/>
      <c r="J119" s="48"/>
      <c r="K119" s="48"/>
      <c r="L119" s="48"/>
      <c r="M119" s="48"/>
      <c r="N119" s="48"/>
    </row>
    <row r="120" spans="1:14" x14ac:dyDescent="0.25">
      <c r="A120" s="2"/>
      <c r="B120" s="3" t="s">
        <v>229</v>
      </c>
      <c r="C120" s="3" t="s">
        <v>230</v>
      </c>
      <c r="D120" s="3" t="s">
        <v>344</v>
      </c>
      <c r="E120" s="3" t="s">
        <v>345</v>
      </c>
      <c r="H120" s="17">
        <v>2016</v>
      </c>
      <c r="I120" s="49"/>
      <c r="J120" s="48"/>
      <c r="K120" s="48"/>
      <c r="L120" s="48"/>
      <c r="M120" s="48"/>
      <c r="N120" s="48"/>
    </row>
    <row r="121" spans="1:14" x14ac:dyDescent="0.25">
      <c r="A121" s="4" t="s">
        <v>0</v>
      </c>
      <c r="B121" s="5">
        <v>366</v>
      </c>
      <c r="C121" s="5">
        <f>B257</f>
        <v>468.83817999999997</v>
      </c>
      <c r="D121" s="5">
        <f>C257</f>
        <v>606.56164999999999</v>
      </c>
      <c r="E121" s="5">
        <f>D257</f>
        <v>641.07813999999996</v>
      </c>
      <c r="F121" s="1"/>
      <c r="G121" s="1"/>
      <c r="I121" s="49"/>
      <c r="J121" s="48"/>
      <c r="K121" s="48"/>
      <c r="L121" s="48"/>
      <c r="M121" s="48"/>
      <c r="N121" s="48"/>
    </row>
    <row r="122" spans="1:14" x14ac:dyDescent="0.25">
      <c r="A122" s="15" t="s">
        <v>1</v>
      </c>
      <c r="B122" s="4"/>
      <c r="C122" s="4"/>
      <c r="D122" s="4"/>
      <c r="E122" s="4"/>
      <c r="F122" s="49"/>
      <c r="G122" s="49"/>
      <c r="H122" s="49"/>
      <c r="I122" s="49"/>
      <c r="J122" s="48"/>
      <c r="K122" s="48"/>
      <c r="L122" s="48"/>
      <c r="M122" s="48"/>
      <c r="N122" s="48"/>
    </row>
    <row r="123" spans="1:14" x14ac:dyDescent="0.25">
      <c r="A123" s="2" t="s">
        <v>2</v>
      </c>
      <c r="B123" s="6"/>
      <c r="C123" s="6"/>
      <c r="D123" s="6"/>
      <c r="E123" s="6"/>
      <c r="F123" s="49"/>
      <c r="G123" s="49"/>
      <c r="H123" s="49"/>
      <c r="I123" s="49"/>
      <c r="J123" s="48"/>
      <c r="K123" s="48"/>
      <c r="L123" s="48"/>
      <c r="M123" s="48"/>
      <c r="N123" s="48"/>
    </row>
    <row r="124" spans="1:14" hidden="1" x14ac:dyDescent="0.25">
      <c r="A124" s="2" t="s">
        <v>39</v>
      </c>
      <c r="B124" s="2"/>
      <c r="C124" s="2"/>
      <c r="D124" s="2"/>
      <c r="E124" s="2"/>
      <c r="F124" s="49"/>
      <c r="G124" s="49"/>
      <c r="H124" s="49"/>
      <c r="I124" s="49"/>
      <c r="J124" s="48"/>
      <c r="K124" s="48"/>
      <c r="L124" s="48"/>
      <c r="M124" s="48"/>
      <c r="N124" s="48"/>
    </row>
    <row r="125" spans="1:14" hidden="1" x14ac:dyDescent="0.25">
      <c r="A125" s="2" t="s">
        <v>3</v>
      </c>
      <c r="B125" s="2"/>
      <c r="C125" s="2"/>
      <c r="D125" s="2"/>
      <c r="E125" s="2"/>
      <c r="F125" s="49"/>
      <c r="G125" s="49"/>
      <c r="H125" s="49"/>
      <c r="I125" s="49"/>
      <c r="J125" s="48"/>
      <c r="K125" s="48"/>
      <c r="L125" s="48"/>
      <c r="M125" s="48"/>
      <c r="N125" s="48"/>
    </row>
    <row r="126" spans="1:14" hidden="1" x14ac:dyDescent="0.25">
      <c r="A126" s="2" t="s">
        <v>4</v>
      </c>
      <c r="B126" s="2"/>
      <c r="C126" s="2"/>
      <c r="D126" s="2"/>
      <c r="E126" s="2"/>
      <c r="F126" s="49"/>
      <c r="G126" s="49"/>
      <c r="H126" s="49"/>
      <c r="I126" s="49"/>
      <c r="J126" s="48"/>
      <c r="K126" s="48"/>
      <c r="L126" s="48"/>
      <c r="M126" s="48"/>
      <c r="N126" s="48"/>
    </row>
    <row r="127" spans="1:14" hidden="1" x14ac:dyDescent="0.25">
      <c r="A127" s="2" t="s">
        <v>32</v>
      </c>
      <c r="B127" s="2"/>
      <c r="C127" s="2"/>
      <c r="D127" s="2"/>
      <c r="E127" s="2"/>
      <c r="F127" s="49"/>
      <c r="G127" s="49"/>
      <c r="H127" s="49"/>
      <c r="I127" s="49"/>
      <c r="J127" s="48"/>
      <c r="K127" s="48"/>
      <c r="L127" s="48"/>
      <c r="M127" s="48"/>
      <c r="N127" s="48"/>
    </row>
    <row r="128" spans="1:14" x14ac:dyDescent="0.25">
      <c r="A128" s="2" t="s">
        <v>74</v>
      </c>
      <c r="B128" s="2"/>
      <c r="C128" s="2"/>
      <c r="D128" s="2"/>
      <c r="E128" s="2"/>
      <c r="F128" s="49"/>
      <c r="G128" s="49"/>
      <c r="H128" s="49"/>
      <c r="I128" s="49"/>
      <c r="J128" s="48"/>
      <c r="K128" s="48"/>
      <c r="L128" s="48"/>
      <c r="M128" s="48"/>
      <c r="N128" s="48"/>
    </row>
    <row r="129" spans="1:14" x14ac:dyDescent="0.25">
      <c r="A129" s="2" t="s">
        <v>217</v>
      </c>
      <c r="B129" s="2"/>
      <c r="C129" s="2"/>
      <c r="D129" s="2"/>
      <c r="E129" s="2">
        <v>1710</v>
      </c>
      <c r="F129" s="49"/>
      <c r="G129" s="49"/>
      <c r="H129" s="49"/>
      <c r="I129" s="49"/>
      <c r="J129" s="48"/>
      <c r="K129" s="48"/>
      <c r="L129" s="48"/>
      <c r="M129" s="48"/>
      <c r="N129" s="48"/>
    </row>
    <row r="130" spans="1:14" hidden="1" x14ac:dyDescent="0.25">
      <c r="A130" s="2" t="s">
        <v>99</v>
      </c>
      <c r="B130" s="2"/>
      <c r="C130" s="2"/>
      <c r="D130" s="2"/>
      <c r="E130" s="2"/>
      <c r="F130" s="49"/>
      <c r="G130" s="49"/>
      <c r="H130" s="49"/>
      <c r="I130" s="49"/>
      <c r="J130" s="48"/>
      <c r="K130" s="48"/>
      <c r="L130" s="48"/>
      <c r="M130" s="48"/>
      <c r="N130" s="48"/>
    </row>
    <row r="131" spans="1:14" x14ac:dyDescent="0.25">
      <c r="A131" s="2" t="s">
        <v>59</v>
      </c>
      <c r="B131" s="2"/>
      <c r="C131" s="2"/>
      <c r="D131" s="2"/>
      <c r="E131" s="6">
        <v>68.247</v>
      </c>
      <c r="F131" s="49"/>
      <c r="G131" s="49"/>
      <c r="H131" s="49"/>
    </row>
    <row r="132" spans="1:14" hidden="1" x14ac:dyDescent="0.25">
      <c r="A132" s="2" t="s">
        <v>33</v>
      </c>
      <c r="B132" s="2"/>
      <c r="C132" s="2"/>
      <c r="D132" s="2"/>
      <c r="E132" s="2"/>
      <c r="F132" s="49"/>
      <c r="G132" s="49"/>
      <c r="H132" s="49"/>
    </row>
    <row r="133" spans="1:14" x14ac:dyDescent="0.25">
      <c r="A133" s="2" t="s">
        <v>214</v>
      </c>
      <c r="B133" s="6">
        <v>193.58699999999999</v>
      </c>
      <c r="C133" s="6">
        <f>196.483+194.334</f>
        <v>390.81700000000001</v>
      </c>
      <c r="D133" s="6">
        <f>45.2722+191.4586</f>
        <v>236.73079999999999</v>
      </c>
      <c r="E133" s="6">
        <v>190.45464999999999</v>
      </c>
      <c r="F133" s="49"/>
      <c r="G133" s="49"/>
      <c r="H133" s="49"/>
    </row>
    <row r="134" spans="1:14" x14ac:dyDescent="0.25">
      <c r="A134" s="2" t="s">
        <v>96</v>
      </c>
      <c r="B134" s="2"/>
      <c r="C134" s="2"/>
      <c r="D134" s="2"/>
      <c r="E134" s="2"/>
      <c r="F134" s="49"/>
      <c r="G134" s="49"/>
      <c r="H134" s="49"/>
    </row>
    <row r="135" spans="1:14" x14ac:dyDescent="0.25">
      <c r="A135" s="2" t="s">
        <v>97</v>
      </c>
      <c r="B135" s="2"/>
      <c r="C135" s="2"/>
      <c r="D135" s="2"/>
      <c r="E135" s="2"/>
      <c r="F135" s="49"/>
      <c r="G135" s="49"/>
      <c r="H135" s="49"/>
      <c r="I135" s="49"/>
      <c r="J135" s="48"/>
      <c r="K135" s="48"/>
      <c r="L135" s="48"/>
      <c r="M135" s="48"/>
      <c r="N135" s="48"/>
    </row>
    <row r="136" spans="1:14" x14ac:dyDescent="0.25">
      <c r="A136" s="2" t="s">
        <v>191</v>
      </c>
      <c r="B136" s="6"/>
      <c r="C136" s="6"/>
      <c r="D136" s="2"/>
      <c r="E136" s="2"/>
      <c r="F136" s="49"/>
      <c r="G136" s="49"/>
      <c r="H136" s="49"/>
      <c r="I136" s="49"/>
      <c r="J136" s="48"/>
      <c r="K136" s="48"/>
      <c r="L136" s="48"/>
      <c r="M136" s="48"/>
      <c r="N136" s="48"/>
    </row>
    <row r="137" spans="1:14" x14ac:dyDescent="0.25">
      <c r="A137" s="2"/>
      <c r="B137" s="2"/>
      <c r="C137" s="2"/>
      <c r="D137" s="2"/>
      <c r="E137" s="2"/>
      <c r="F137" s="49"/>
      <c r="G137" s="49"/>
      <c r="H137" s="49"/>
      <c r="I137" s="49"/>
      <c r="J137" s="48"/>
      <c r="K137" s="48"/>
      <c r="L137" s="48"/>
      <c r="M137" s="48"/>
      <c r="N137" s="48"/>
    </row>
    <row r="138" spans="1:14" x14ac:dyDescent="0.25">
      <c r="A138" s="7" t="s">
        <v>7</v>
      </c>
      <c r="B138" s="8">
        <f>SUM(B123:B137)</f>
        <v>193.58699999999999</v>
      </c>
      <c r="C138" s="8">
        <f>SUM(C123:C137)</f>
        <v>390.81700000000001</v>
      </c>
      <c r="D138" s="8">
        <f>SUM(D123:D137)</f>
        <v>236.73079999999999</v>
      </c>
      <c r="E138" s="8">
        <f>SUM(E123:E137)</f>
        <v>1968.70165</v>
      </c>
      <c r="F138" s="49"/>
      <c r="G138" s="49"/>
      <c r="H138" s="49"/>
      <c r="I138" s="49"/>
      <c r="J138" s="48"/>
      <c r="K138" s="48"/>
      <c r="L138" s="48"/>
      <c r="M138" s="48"/>
      <c r="N138" s="48"/>
    </row>
    <row r="139" spans="1:14" x14ac:dyDescent="0.25">
      <c r="A139" s="15" t="s">
        <v>5</v>
      </c>
      <c r="B139" s="4"/>
      <c r="C139" s="4"/>
      <c r="D139" s="4"/>
      <c r="E139" s="4"/>
      <c r="F139" s="49"/>
      <c r="G139" s="49"/>
      <c r="H139" s="49"/>
      <c r="I139" s="49"/>
      <c r="J139" s="48"/>
      <c r="K139" s="48"/>
      <c r="L139" s="48"/>
      <c r="M139" s="48"/>
      <c r="N139" s="48"/>
    </row>
    <row r="140" spans="1:14" x14ac:dyDescent="0.25">
      <c r="A140" s="85" t="s">
        <v>103</v>
      </c>
      <c r="B140" s="110"/>
      <c r="C140" s="110">
        <f>49.831+198.07142-4</f>
        <v>243.90242000000001</v>
      </c>
      <c r="D140" s="110"/>
      <c r="E140" s="110">
        <f>45.637+35</f>
        <v>80.637</v>
      </c>
      <c r="F140" s="49"/>
      <c r="G140" s="49"/>
      <c r="H140" s="49"/>
    </row>
    <row r="141" spans="1:14" x14ac:dyDescent="0.25">
      <c r="A141" s="85" t="s">
        <v>224</v>
      </c>
      <c r="B141" s="110"/>
      <c r="D141" s="110"/>
      <c r="E141" s="110"/>
      <c r="F141" s="49"/>
      <c r="G141" s="49"/>
      <c r="H141" s="49"/>
    </row>
    <row r="142" spans="1:14" x14ac:dyDescent="0.25">
      <c r="A142" s="61" t="s">
        <v>147</v>
      </c>
      <c r="B142" s="110"/>
      <c r="C142" s="110"/>
      <c r="D142" s="110"/>
      <c r="E142" s="110">
        <v>226.04</v>
      </c>
      <c r="F142" s="68"/>
      <c r="G142" s="68"/>
      <c r="H142" s="69"/>
      <c r="I142" s="49"/>
      <c r="J142" s="48"/>
      <c r="K142" s="48"/>
      <c r="L142" s="48"/>
      <c r="M142" s="48"/>
      <c r="N142" s="48"/>
    </row>
    <row r="143" spans="1:14" x14ac:dyDescent="0.25">
      <c r="A143" s="61" t="s">
        <v>152</v>
      </c>
      <c r="B143" s="110"/>
      <c r="C143" s="110"/>
      <c r="D143" s="110"/>
      <c r="E143" s="110">
        <v>0</v>
      </c>
      <c r="F143" s="106">
        <f>SUM(B142:E143)</f>
        <v>226.04</v>
      </c>
      <c r="G143" s="71" t="s">
        <v>156</v>
      </c>
      <c r="H143" s="72"/>
      <c r="I143" s="49"/>
      <c r="J143" s="48"/>
      <c r="K143" s="48"/>
      <c r="L143" s="48"/>
      <c r="M143" s="48"/>
      <c r="N143" s="48"/>
    </row>
    <row r="144" spans="1:14" x14ac:dyDescent="0.25">
      <c r="A144" s="9" t="s">
        <v>29</v>
      </c>
      <c r="B144" s="110"/>
      <c r="C144" s="110"/>
      <c r="D144" s="110">
        <v>70.17192</v>
      </c>
      <c r="E144" s="110"/>
      <c r="F144" s="49"/>
      <c r="G144" s="49"/>
      <c r="H144" s="49"/>
      <c r="I144" s="49"/>
      <c r="J144" s="48"/>
      <c r="K144" s="48"/>
      <c r="L144" s="48"/>
      <c r="M144" s="48"/>
      <c r="N144" s="48"/>
    </row>
    <row r="145" spans="1:14" x14ac:dyDescent="0.25">
      <c r="A145" s="10" t="s">
        <v>189</v>
      </c>
      <c r="B145" s="110"/>
      <c r="C145" s="110"/>
      <c r="D145" s="110"/>
      <c r="E145" s="110"/>
      <c r="F145" s="49"/>
      <c r="G145" s="49"/>
      <c r="H145" s="49"/>
      <c r="I145" s="49"/>
      <c r="J145" s="48"/>
      <c r="K145" s="48"/>
      <c r="L145" s="48"/>
      <c r="M145" s="48"/>
      <c r="N145" s="48"/>
    </row>
    <row r="146" spans="1:14" x14ac:dyDescent="0.25">
      <c r="A146" s="10" t="s">
        <v>10</v>
      </c>
      <c r="B146" s="110">
        <v>10</v>
      </c>
      <c r="C146" s="110"/>
      <c r="D146" s="110"/>
      <c r="E146" s="110">
        <v>0</v>
      </c>
      <c r="F146" s="49"/>
      <c r="G146" s="49"/>
      <c r="H146" s="49"/>
      <c r="I146" s="49"/>
      <c r="J146" s="48"/>
      <c r="K146" s="48"/>
      <c r="L146" s="48"/>
      <c r="M146" s="48"/>
      <c r="N146" s="48"/>
    </row>
    <row r="147" spans="1:14" x14ac:dyDescent="0.25">
      <c r="A147" s="2" t="s">
        <v>73</v>
      </c>
      <c r="B147" s="110"/>
      <c r="C147" s="110">
        <v>0.40479999999999999</v>
      </c>
      <c r="D147" s="110"/>
      <c r="E147" s="110"/>
      <c r="F147" s="49"/>
      <c r="G147" s="49"/>
      <c r="H147" s="49"/>
      <c r="I147" s="49"/>
      <c r="J147" s="48"/>
      <c r="K147" s="48"/>
      <c r="L147" s="48"/>
      <c r="M147" s="48"/>
      <c r="N147" s="48"/>
    </row>
    <row r="148" spans="1:14" x14ac:dyDescent="0.25">
      <c r="A148" s="2" t="s">
        <v>52</v>
      </c>
      <c r="B148" s="110"/>
      <c r="C148" s="110"/>
      <c r="D148" s="110"/>
      <c r="E148" s="110"/>
      <c r="F148" s="49"/>
      <c r="G148" s="49"/>
      <c r="H148" s="49"/>
      <c r="I148" s="49"/>
      <c r="J148" s="48"/>
      <c r="K148" s="48"/>
      <c r="L148" s="48"/>
      <c r="M148" s="48"/>
      <c r="N148" s="48"/>
    </row>
    <row r="149" spans="1:14" x14ac:dyDescent="0.25">
      <c r="A149" s="10" t="s">
        <v>12</v>
      </c>
      <c r="B149" s="110"/>
      <c r="C149" s="110">
        <v>2.5572900000000001</v>
      </c>
      <c r="D149" s="110"/>
      <c r="E149" s="110">
        <v>1.8638600000000001</v>
      </c>
      <c r="F149" s="49"/>
      <c r="G149" s="49"/>
      <c r="H149" s="49"/>
      <c r="I149" s="49"/>
      <c r="J149" s="48"/>
      <c r="K149" s="48"/>
      <c r="L149" s="48"/>
      <c r="M149" s="48"/>
      <c r="N149" s="48"/>
    </row>
    <row r="150" spans="1:14" x14ac:dyDescent="0.25">
      <c r="A150" s="59" t="s">
        <v>145</v>
      </c>
      <c r="B150" s="110"/>
      <c r="C150" s="110"/>
      <c r="D150" s="110"/>
      <c r="E150" s="110"/>
      <c r="F150" s="68"/>
      <c r="G150" s="68"/>
      <c r="H150" s="69"/>
      <c r="I150" s="49"/>
      <c r="J150" s="48"/>
      <c r="K150" s="48"/>
      <c r="L150" s="48"/>
      <c r="M150" s="48"/>
      <c r="N150" s="48"/>
    </row>
    <row r="151" spans="1:14" x14ac:dyDescent="0.25">
      <c r="A151" s="59" t="s">
        <v>146</v>
      </c>
      <c r="B151" s="110"/>
      <c r="C151" s="110"/>
      <c r="D151" s="110"/>
      <c r="E151" s="110"/>
      <c r="F151" s="106">
        <f>SUM(B150:E151)</f>
        <v>0</v>
      </c>
      <c r="G151" s="71" t="s">
        <v>155</v>
      </c>
      <c r="H151" s="72"/>
      <c r="I151" s="49"/>
      <c r="J151" s="48"/>
      <c r="K151" s="48"/>
      <c r="L151" s="48"/>
      <c r="M151" s="48"/>
      <c r="N151" s="48"/>
    </row>
    <row r="152" spans="1:14" x14ac:dyDescent="0.25">
      <c r="A152" s="2" t="s">
        <v>24</v>
      </c>
      <c r="B152" s="110">
        <v>1.9019999999999999</v>
      </c>
      <c r="C152" s="110"/>
      <c r="D152" s="110"/>
      <c r="E152" s="110"/>
      <c r="F152" s="64"/>
      <c r="G152" s="64"/>
      <c r="H152" s="64"/>
      <c r="I152" s="49"/>
      <c r="J152" s="48"/>
      <c r="K152" s="48"/>
      <c r="L152" s="48"/>
      <c r="M152" s="48"/>
      <c r="N152" s="48"/>
    </row>
    <row r="153" spans="1:14" x14ac:dyDescent="0.25">
      <c r="A153" s="2" t="s">
        <v>68</v>
      </c>
      <c r="B153" s="110">
        <v>17.825209999999998</v>
      </c>
      <c r="C153" s="110"/>
      <c r="D153" s="110"/>
      <c r="E153" s="110"/>
      <c r="F153" s="64"/>
      <c r="G153" s="64"/>
      <c r="H153" s="64"/>
      <c r="I153" s="49"/>
      <c r="J153" s="48"/>
      <c r="K153" s="48"/>
      <c r="L153" s="48"/>
      <c r="M153" s="48"/>
      <c r="N153" s="48"/>
    </row>
    <row r="154" spans="1:14" x14ac:dyDescent="0.25">
      <c r="A154" s="59" t="s">
        <v>148</v>
      </c>
      <c r="B154" s="110"/>
      <c r="C154" s="110"/>
      <c r="D154" s="110"/>
      <c r="E154" s="110"/>
      <c r="F154" s="68"/>
      <c r="G154" s="68"/>
      <c r="H154" s="69"/>
      <c r="I154" s="49"/>
      <c r="J154" s="48"/>
      <c r="K154" s="48"/>
      <c r="L154" s="48"/>
      <c r="M154" s="48"/>
      <c r="N154" s="48"/>
    </row>
    <row r="155" spans="1:14" x14ac:dyDescent="0.25">
      <c r="A155" s="59" t="s">
        <v>149</v>
      </c>
      <c r="B155" s="110">
        <f>1.63684+0.25173</f>
        <v>1.8885700000000001</v>
      </c>
      <c r="C155" s="110"/>
      <c r="D155" s="110">
        <f>0.17612</f>
        <v>0.17612</v>
      </c>
      <c r="E155" s="110"/>
      <c r="F155" s="106">
        <f>SUM(B154:E155)</f>
        <v>2.0646900000000001</v>
      </c>
      <c r="G155" s="71" t="s">
        <v>157</v>
      </c>
      <c r="H155" s="72"/>
      <c r="I155" s="49"/>
      <c r="J155" s="48"/>
      <c r="K155" s="48"/>
      <c r="L155" s="48"/>
      <c r="M155" s="48"/>
      <c r="N155" s="48"/>
    </row>
    <row r="156" spans="1:14" x14ac:dyDescent="0.25">
      <c r="A156" s="59" t="s">
        <v>151</v>
      </c>
      <c r="B156" s="110"/>
      <c r="C156" s="110"/>
      <c r="D156" s="110"/>
      <c r="E156" s="110"/>
      <c r="F156" s="68"/>
      <c r="G156" s="68"/>
      <c r="H156" s="69"/>
      <c r="I156" s="49"/>
      <c r="J156" s="48"/>
      <c r="K156" s="48"/>
      <c r="L156" s="48"/>
      <c r="M156" s="48"/>
      <c r="N156" s="48"/>
    </row>
    <row r="157" spans="1:14" x14ac:dyDescent="0.25">
      <c r="A157" s="59" t="s">
        <v>150</v>
      </c>
      <c r="B157" s="110"/>
      <c r="C157" s="110"/>
      <c r="D157" s="110"/>
      <c r="E157" s="110"/>
      <c r="F157" s="106">
        <f>SUM(B156:E157)</f>
        <v>0</v>
      </c>
      <c r="G157" s="71" t="s">
        <v>158</v>
      </c>
      <c r="H157" s="72"/>
      <c r="I157" s="49"/>
      <c r="J157" s="48"/>
      <c r="K157" s="48"/>
      <c r="L157" s="48"/>
      <c r="M157" s="48"/>
      <c r="N157" s="48"/>
    </row>
    <row r="158" spans="1:14" x14ac:dyDescent="0.25">
      <c r="A158" s="2" t="s">
        <v>94</v>
      </c>
      <c r="B158" s="110"/>
      <c r="C158" s="110"/>
      <c r="D158" s="110"/>
      <c r="E158" s="110">
        <v>0</v>
      </c>
      <c r="F158" s="49"/>
      <c r="G158" s="49"/>
      <c r="H158" s="49"/>
      <c r="I158" s="49"/>
      <c r="J158" s="48"/>
      <c r="K158" s="48"/>
      <c r="L158" s="48"/>
      <c r="M158" s="48"/>
      <c r="N158" s="48"/>
    </row>
    <row r="159" spans="1:14" x14ac:dyDescent="0.25">
      <c r="A159" s="100" t="s">
        <v>226</v>
      </c>
      <c r="B159" s="110"/>
      <c r="C159" s="110"/>
      <c r="D159" s="110">
        <v>53.963000000000001</v>
      </c>
      <c r="E159" s="110"/>
      <c r="F159" s="49"/>
      <c r="G159" s="49"/>
      <c r="H159" s="49"/>
      <c r="I159" s="49"/>
      <c r="J159" s="48"/>
      <c r="K159" s="48"/>
      <c r="L159" s="48"/>
      <c r="M159" s="48"/>
      <c r="N159" s="48"/>
    </row>
    <row r="160" spans="1:14" x14ac:dyDescent="0.25">
      <c r="A160" s="100" t="s">
        <v>193</v>
      </c>
      <c r="B160" s="110"/>
      <c r="C160" s="110"/>
      <c r="D160" s="110"/>
      <c r="E160" s="110"/>
      <c r="F160" s="49"/>
      <c r="G160" s="49"/>
      <c r="H160" s="49"/>
      <c r="I160" s="49"/>
      <c r="J160" s="48"/>
      <c r="K160" s="48"/>
      <c r="L160" s="48"/>
      <c r="M160" s="48"/>
      <c r="N160" s="48"/>
    </row>
    <row r="161" spans="1:14" x14ac:dyDescent="0.25">
      <c r="A161" s="2" t="s">
        <v>98</v>
      </c>
      <c r="B161" s="110"/>
      <c r="C161" s="110">
        <v>4</v>
      </c>
      <c r="D161" s="110"/>
      <c r="E161" s="110"/>
      <c r="F161" s="49"/>
      <c r="G161" s="49"/>
      <c r="H161" s="49"/>
      <c r="I161" s="49"/>
      <c r="J161" s="48"/>
      <c r="K161" s="48"/>
      <c r="L161" s="48"/>
      <c r="M161" s="48"/>
      <c r="N161" s="48"/>
    </row>
    <row r="162" spans="1:14" x14ac:dyDescent="0.25">
      <c r="A162" s="2" t="s">
        <v>42</v>
      </c>
      <c r="B162" s="110">
        <v>0</v>
      </c>
      <c r="C162" s="110"/>
      <c r="D162" s="110"/>
      <c r="E162" s="110"/>
      <c r="F162" s="49"/>
      <c r="G162" s="49"/>
      <c r="H162" s="49"/>
      <c r="I162" s="49"/>
      <c r="J162" s="48"/>
      <c r="K162" s="48"/>
      <c r="L162" s="48"/>
      <c r="M162" s="48"/>
      <c r="N162" s="48"/>
    </row>
    <row r="163" spans="1:14" x14ac:dyDescent="0.25">
      <c r="A163" s="2" t="s">
        <v>76</v>
      </c>
      <c r="B163" s="110"/>
      <c r="C163" s="110"/>
      <c r="D163" s="110"/>
      <c r="E163" s="110"/>
      <c r="F163" s="49"/>
      <c r="G163" s="49"/>
      <c r="H163" s="49"/>
      <c r="I163" s="49"/>
      <c r="J163" s="48"/>
      <c r="K163" s="48"/>
      <c r="L163" s="48"/>
      <c r="M163" s="48"/>
      <c r="N163" s="48"/>
    </row>
    <row r="164" spans="1:14" x14ac:dyDescent="0.25">
      <c r="A164" s="2" t="s">
        <v>30</v>
      </c>
      <c r="C164" s="110"/>
      <c r="D164" s="110"/>
      <c r="E164" s="110">
        <v>4.0186099999999998</v>
      </c>
      <c r="F164" s="49"/>
      <c r="G164" s="49"/>
      <c r="H164" s="49"/>
      <c r="I164" s="49"/>
      <c r="J164" s="48"/>
      <c r="K164" s="48"/>
      <c r="L164" s="48"/>
      <c r="M164" s="48"/>
      <c r="N164" s="48"/>
    </row>
    <row r="165" spans="1:14" x14ac:dyDescent="0.25">
      <c r="A165" s="9" t="s">
        <v>15</v>
      </c>
      <c r="B165" s="110">
        <f>0.22079+11.92622</f>
        <v>12.14701</v>
      </c>
      <c r="C165" s="110"/>
      <c r="D165" s="110"/>
      <c r="E165" s="110"/>
      <c r="F165" s="49"/>
      <c r="G165" s="49"/>
      <c r="H165" s="49"/>
      <c r="I165" s="49"/>
      <c r="J165" s="48"/>
      <c r="K165" s="48"/>
      <c r="L165" s="48"/>
      <c r="M165" s="48"/>
      <c r="N165" s="48"/>
    </row>
    <row r="166" spans="1:14" x14ac:dyDescent="0.25">
      <c r="A166" s="2" t="s">
        <v>34</v>
      </c>
      <c r="B166" s="110"/>
      <c r="C166" s="110"/>
      <c r="D166" s="110"/>
      <c r="E166" s="110">
        <v>3</v>
      </c>
      <c r="F166" s="49"/>
      <c r="G166" s="49"/>
      <c r="H166" s="49"/>
      <c r="I166" s="49"/>
      <c r="J166" s="48"/>
      <c r="K166" s="48"/>
      <c r="L166" s="48"/>
      <c r="M166" s="48"/>
      <c r="N166" s="48"/>
    </row>
    <row r="167" spans="1:14" x14ac:dyDescent="0.25">
      <c r="A167" s="10" t="s">
        <v>13</v>
      </c>
      <c r="B167" s="110"/>
      <c r="C167" s="110"/>
      <c r="D167" s="110">
        <v>6.4232699999999996</v>
      </c>
      <c r="E167" s="110">
        <f>5.56+0.86+2.28+0.085</f>
        <v>8.7850000000000001</v>
      </c>
      <c r="F167" s="49"/>
      <c r="G167" s="49"/>
      <c r="H167" s="49"/>
      <c r="I167" s="49"/>
      <c r="J167" s="48"/>
      <c r="K167" s="48"/>
      <c r="L167" s="48"/>
      <c r="M167" s="48"/>
      <c r="N167" s="48"/>
    </row>
    <row r="168" spans="1:14" x14ac:dyDescent="0.25">
      <c r="A168" s="2" t="s">
        <v>41</v>
      </c>
      <c r="B168" s="110"/>
      <c r="C168" s="110">
        <v>1.1838500000000001</v>
      </c>
      <c r="D168" s="110"/>
      <c r="E168" s="110"/>
      <c r="F168" s="49"/>
      <c r="G168" s="49"/>
      <c r="H168" s="49"/>
      <c r="I168" s="49"/>
      <c r="J168" s="48"/>
      <c r="K168" s="48"/>
      <c r="L168" s="48"/>
      <c r="M168" s="48"/>
      <c r="N168" s="48"/>
    </row>
    <row r="169" spans="1:14" x14ac:dyDescent="0.25">
      <c r="A169" s="2" t="s">
        <v>36</v>
      </c>
      <c r="B169" s="110"/>
      <c r="C169" s="110">
        <v>0.42016999999999999</v>
      </c>
      <c r="D169" s="110"/>
      <c r="E169" s="110"/>
      <c r="F169" s="49"/>
      <c r="G169" s="49"/>
      <c r="H169" s="49"/>
      <c r="I169" s="49"/>
      <c r="J169" s="48"/>
      <c r="K169" s="48"/>
      <c r="L169" s="48"/>
      <c r="M169" s="48"/>
      <c r="N169" s="48"/>
    </row>
    <row r="170" spans="1:14" s="1" customFormat="1" x14ac:dyDescent="0.25">
      <c r="A170" s="2" t="s">
        <v>54</v>
      </c>
      <c r="B170" s="110">
        <f>18.02903+0.952+1.785</f>
        <v>20.766029999999997</v>
      </c>
      <c r="C170" s="110"/>
      <c r="D170" s="110"/>
      <c r="E170" s="110"/>
      <c r="F170" s="49"/>
      <c r="G170" s="49"/>
      <c r="H170" s="49"/>
      <c r="I170" s="49"/>
      <c r="J170" s="48"/>
      <c r="K170" s="48"/>
      <c r="L170" s="48"/>
      <c r="M170" s="48"/>
      <c r="N170" s="48"/>
    </row>
    <row r="171" spans="1:14" x14ac:dyDescent="0.25">
      <c r="A171" s="2" t="s">
        <v>23</v>
      </c>
      <c r="B171" s="110"/>
      <c r="C171" s="110">
        <f>0.625</f>
        <v>0.625</v>
      </c>
      <c r="D171" s="110"/>
      <c r="E171" s="110"/>
      <c r="F171" s="49"/>
      <c r="G171" s="49"/>
      <c r="H171" s="49"/>
    </row>
    <row r="172" spans="1:14" x14ac:dyDescent="0.25">
      <c r="A172" s="2" t="s">
        <v>40</v>
      </c>
      <c r="B172" s="86">
        <v>10.87</v>
      </c>
      <c r="C172" s="86"/>
      <c r="D172" s="86"/>
      <c r="E172" s="2"/>
      <c r="F172" s="49"/>
      <c r="G172" s="49"/>
      <c r="H172" s="49"/>
    </row>
    <row r="173" spans="1:14" x14ac:dyDescent="0.25">
      <c r="A173" s="2" t="s">
        <v>346</v>
      </c>
      <c r="B173" s="86">
        <v>15.35</v>
      </c>
      <c r="C173" s="86"/>
      <c r="D173" s="86"/>
      <c r="E173" s="86"/>
      <c r="F173" s="49"/>
      <c r="G173" s="49"/>
      <c r="H173" s="49"/>
    </row>
    <row r="174" spans="1:14" s="1" customFormat="1" x14ac:dyDescent="0.25">
      <c r="A174" s="2" t="s">
        <v>218</v>
      </c>
      <c r="B174" s="110"/>
      <c r="C174" s="110"/>
      <c r="D174" s="110"/>
      <c r="E174" s="111"/>
      <c r="F174" s="49"/>
      <c r="G174" s="49"/>
      <c r="H174" s="49"/>
      <c r="I174" s="49"/>
      <c r="J174" s="48"/>
      <c r="K174" s="48"/>
      <c r="L174" s="48"/>
      <c r="M174" s="48"/>
      <c r="N174" s="48"/>
    </row>
    <row r="175" spans="1:14" x14ac:dyDescent="0.25">
      <c r="A175" s="2" t="s">
        <v>183</v>
      </c>
      <c r="B175" s="110"/>
      <c r="C175" s="110"/>
      <c r="D175" s="110"/>
      <c r="E175" s="110"/>
      <c r="F175" s="49"/>
      <c r="G175" s="49"/>
      <c r="H175" s="49"/>
    </row>
    <row r="176" spans="1:14" x14ac:dyDescent="0.25">
      <c r="A176" s="121" t="s">
        <v>347</v>
      </c>
      <c r="B176" s="122"/>
      <c r="C176" s="122"/>
      <c r="D176" s="122"/>
      <c r="E176" s="122">
        <f>10368.16*4/1000</f>
        <v>41.472639999999998</v>
      </c>
      <c r="F176" s="49"/>
      <c r="G176" s="49"/>
      <c r="H176" s="49"/>
    </row>
    <row r="177" spans="1:14" x14ac:dyDescent="0.25">
      <c r="A177" s="121" t="s">
        <v>348</v>
      </c>
      <c r="B177" s="122"/>
      <c r="C177" s="122"/>
      <c r="D177" s="122"/>
      <c r="E177" s="122">
        <f>1000*4.56/1000</f>
        <v>4.5599999999999996</v>
      </c>
      <c r="F177" s="49"/>
      <c r="G177" s="49"/>
      <c r="H177" s="49"/>
    </row>
    <row r="178" spans="1:14" x14ac:dyDescent="0.25">
      <c r="A178" s="2" t="s">
        <v>35</v>
      </c>
      <c r="B178" s="86"/>
      <c r="C178" s="86"/>
      <c r="D178" s="86">
        <v>16.88</v>
      </c>
      <c r="E178" s="86"/>
      <c r="F178" s="49"/>
      <c r="G178" s="49"/>
      <c r="H178" s="49"/>
    </row>
    <row r="179" spans="1:14" x14ac:dyDescent="0.25">
      <c r="A179" s="85" t="s">
        <v>182</v>
      </c>
      <c r="B179" s="110"/>
      <c r="C179" s="110"/>
      <c r="D179" s="110">
        <v>54.6</v>
      </c>
      <c r="E179" s="110"/>
      <c r="F179" s="49"/>
      <c r="G179" s="49"/>
      <c r="H179" s="49"/>
    </row>
    <row r="180" spans="1:14" hidden="1" x14ac:dyDescent="0.25">
      <c r="A180" s="2" t="s">
        <v>211</v>
      </c>
      <c r="B180" s="2"/>
      <c r="D180" s="110"/>
      <c r="E180" s="110"/>
      <c r="F180" s="49"/>
      <c r="G180" s="49"/>
      <c r="H180" s="49"/>
      <c r="I180" s="49"/>
      <c r="J180" s="48"/>
      <c r="K180" s="48"/>
      <c r="L180" s="48"/>
      <c r="M180" s="48"/>
      <c r="N180" s="48"/>
    </row>
    <row r="181" spans="1:14" hidden="1" x14ac:dyDescent="0.25">
      <c r="A181" s="112" t="s">
        <v>228</v>
      </c>
      <c r="B181" s="2"/>
      <c r="C181" s="110"/>
      <c r="D181" s="110"/>
      <c r="E181" s="110"/>
      <c r="F181" s="49"/>
      <c r="G181" s="49"/>
      <c r="H181" s="49"/>
      <c r="I181" s="49"/>
      <c r="J181" s="48"/>
      <c r="K181" s="48"/>
      <c r="L181" s="48"/>
      <c r="M181" s="48"/>
      <c r="N181" s="48"/>
    </row>
    <row r="182" spans="1:14" hidden="1" x14ac:dyDescent="0.25">
      <c r="A182" s="2" t="s">
        <v>22</v>
      </c>
      <c r="B182" s="110">
        <v>0</v>
      </c>
      <c r="C182" s="110"/>
      <c r="D182" s="110"/>
      <c r="E182" s="110"/>
      <c r="F182" s="49"/>
      <c r="G182" s="49"/>
      <c r="H182" s="49"/>
    </row>
    <row r="183" spans="1:14" hidden="1" x14ac:dyDescent="0.25">
      <c r="A183" s="2" t="s">
        <v>209</v>
      </c>
      <c r="B183" s="110"/>
      <c r="C183" s="110"/>
      <c r="D183" s="110"/>
      <c r="E183" s="110"/>
      <c r="F183" s="49"/>
      <c r="G183" s="49"/>
      <c r="H183" s="49"/>
    </row>
    <row r="184" spans="1:14" hidden="1" x14ac:dyDescent="0.25">
      <c r="A184" s="2" t="s">
        <v>208</v>
      </c>
      <c r="B184" s="110"/>
      <c r="C184" s="110"/>
      <c r="D184" s="110"/>
      <c r="E184" s="110"/>
      <c r="F184" s="49"/>
      <c r="G184" s="49"/>
      <c r="H184" s="49"/>
    </row>
    <row r="185" spans="1:14" hidden="1" x14ac:dyDescent="0.25">
      <c r="A185" s="2" t="s">
        <v>223</v>
      </c>
      <c r="B185" s="110"/>
      <c r="C185" s="110"/>
      <c r="D185" s="110"/>
      <c r="E185" s="110"/>
      <c r="F185" s="49"/>
      <c r="G185" s="49"/>
      <c r="H185" s="49"/>
    </row>
    <row r="186" spans="1:14" hidden="1" x14ac:dyDescent="0.25">
      <c r="A186" s="2" t="s">
        <v>225</v>
      </c>
      <c r="B186" s="110"/>
      <c r="C186" s="110"/>
      <c r="D186" s="110"/>
      <c r="E186" s="110"/>
      <c r="F186" s="49"/>
      <c r="G186" s="49"/>
      <c r="H186" s="49"/>
    </row>
    <row r="187" spans="1:14" hidden="1" x14ac:dyDescent="0.25">
      <c r="A187" s="2" t="s">
        <v>227</v>
      </c>
      <c r="B187" s="86"/>
      <c r="C187" s="86"/>
      <c r="D187" s="86"/>
      <c r="E187" s="2"/>
      <c r="F187" s="49"/>
      <c r="G187" s="49"/>
      <c r="H187" s="49"/>
    </row>
    <row r="188" spans="1:14" hidden="1" x14ac:dyDescent="0.25">
      <c r="A188" s="2" t="s">
        <v>190</v>
      </c>
      <c r="B188" s="2"/>
      <c r="C188" s="86"/>
      <c r="D188" s="2"/>
      <c r="E188" s="86"/>
      <c r="F188" s="49"/>
      <c r="G188" s="49"/>
      <c r="H188" s="49"/>
    </row>
    <row r="189" spans="1:14" hidden="1" x14ac:dyDescent="0.25">
      <c r="A189" s="2" t="s">
        <v>202</v>
      </c>
      <c r="B189" s="86"/>
      <c r="C189" s="86"/>
      <c r="D189" s="86"/>
      <c r="E189" s="86"/>
      <c r="F189" s="49"/>
      <c r="G189" s="49"/>
      <c r="H189" s="49"/>
    </row>
    <row r="190" spans="1:14" hidden="1" x14ac:dyDescent="0.25">
      <c r="A190" s="2" t="s">
        <v>210</v>
      </c>
      <c r="B190" s="2"/>
      <c r="C190" s="86"/>
      <c r="D190" s="86"/>
      <c r="E190" s="86"/>
      <c r="F190" s="49"/>
      <c r="G190" s="49"/>
      <c r="H190" s="49"/>
    </row>
    <row r="191" spans="1:14" hidden="1" x14ac:dyDescent="0.25">
      <c r="A191" s="2" t="s">
        <v>215</v>
      </c>
      <c r="B191" s="86"/>
      <c r="C191" s="86"/>
      <c r="D191" s="86"/>
      <c r="E191" s="86"/>
      <c r="F191" s="49"/>
      <c r="G191" s="49"/>
      <c r="H191" s="49"/>
    </row>
    <row r="192" spans="1:14" hidden="1" x14ac:dyDescent="0.25">
      <c r="A192" s="2" t="s">
        <v>62</v>
      </c>
      <c r="B192" s="86"/>
      <c r="C192" s="86"/>
      <c r="D192" s="86"/>
      <c r="E192" s="86"/>
      <c r="F192" s="49"/>
      <c r="G192" s="49"/>
      <c r="H192" s="49"/>
      <c r="I192" s="49"/>
      <c r="J192" s="48"/>
      <c r="K192" s="48"/>
      <c r="L192" s="48"/>
      <c r="M192" s="48"/>
      <c r="N192" s="48"/>
    </row>
    <row r="193" spans="1:14" hidden="1" x14ac:dyDescent="0.25">
      <c r="A193" s="2" t="s">
        <v>80</v>
      </c>
      <c r="B193" s="86"/>
      <c r="C193" s="86"/>
      <c r="D193" s="86"/>
      <c r="E193" s="86"/>
      <c r="F193" s="49"/>
      <c r="G193" s="49"/>
      <c r="H193" s="49"/>
      <c r="I193" s="49"/>
      <c r="J193" s="48"/>
      <c r="K193" s="48"/>
      <c r="L193" s="48"/>
      <c r="M193" s="48"/>
      <c r="N193" s="48"/>
    </row>
    <row r="194" spans="1:14" hidden="1" x14ac:dyDescent="0.25">
      <c r="A194" s="10" t="s">
        <v>9</v>
      </c>
      <c r="B194" s="2"/>
      <c r="C194" s="2"/>
      <c r="D194" s="2"/>
      <c r="E194" s="86"/>
      <c r="F194" s="49"/>
      <c r="G194" s="49"/>
      <c r="H194" s="49"/>
      <c r="I194" s="49"/>
      <c r="J194" s="48"/>
      <c r="K194" s="48"/>
      <c r="L194" s="48"/>
      <c r="M194" s="48"/>
      <c r="N194" s="48"/>
    </row>
    <row r="195" spans="1:14" hidden="1" x14ac:dyDescent="0.25">
      <c r="A195" s="2" t="s">
        <v>43</v>
      </c>
      <c r="B195" s="86"/>
      <c r="C195" s="86"/>
      <c r="D195" s="86"/>
      <c r="E195" s="86"/>
      <c r="F195" s="49"/>
      <c r="G195" s="49"/>
      <c r="H195" s="49"/>
      <c r="I195" s="49"/>
      <c r="J195" s="48"/>
      <c r="K195" s="48"/>
      <c r="L195" s="48"/>
      <c r="M195" s="48"/>
      <c r="N195" s="48"/>
    </row>
    <row r="196" spans="1:14" hidden="1" x14ac:dyDescent="0.25">
      <c r="A196" s="2" t="s">
        <v>111</v>
      </c>
      <c r="B196" s="86"/>
      <c r="C196" s="2"/>
      <c r="D196" s="58"/>
      <c r="E196" s="86"/>
      <c r="F196" s="49"/>
      <c r="G196" s="49"/>
      <c r="H196" s="49"/>
      <c r="I196" s="49"/>
      <c r="J196" s="48"/>
      <c r="K196" s="48"/>
      <c r="L196" s="48"/>
      <c r="M196" s="48"/>
      <c r="N196" s="48"/>
    </row>
    <row r="197" spans="1:14" hidden="1" x14ac:dyDescent="0.25">
      <c r="A197" s="9" t="s">
        <v>8</v>
      </c>
      <c r="B197" s="2"/>
      <c r="C197" s="2"/>
      <c r="D197" s="86"/>
      <c r="E197" s="86"/>
      <c r="F197" s="49"/>
      <c r="G197" s="49"/>
      <c r="H197" s="49"/>
    </row>
    <row r="198" spans="1:14" hidden="1" x14ac:dyDescent="0.25">
      <c r="A198" s="2" t="s">
        <v>25</v>
      </c>
      <c r="B198" s="2"/>
      <c r="C198" s="86"/>
      <c r="D198" s="86"/>
      <c r="E198" s="2"/>
      <c r="F198" s="64"/>
      <c r="G198" s="64"/>
      <c r="H198" s="64"/>
      <c r="I198" s="49"/>
      <c r="J198" s="48"/>
      <c r="K198" s="48"/>
      <c r="L198" s="48"/>
      <c r="M198" s="48"/>
      <c r="N198" s="48"/>
    </row>
    <row r="199" spans="1:14" hidden="1" x14ac:dyDescent="0.25">
      <c r="A199" s="10" t="s">
        <v>28</v>
      </c>
      <c r="B199" s="86"/>
      <c r="C199" s="86"/>
      <c r="D199" s="86"/>
      <c r="E199" s="86"/>
      <c r="F199" s="64"/>
      <c r="G199" s="64"/>
      <c r="H199" s="64"/>
      <c r="I199" s="49"/>
      <c r="J199" s="48"/>
      <c r="K199" s="48"/>
      <c r="L199" s="48"/>
      <c r="M199" s="48"/>
      <c r="N199" s="48"/>
    </row>
    <row r="200" spans="1:14" hidden="1" x14ac:dyDescent="0.25">
      <c r="A200" s="2" t="s">
        <v>71</v>
      </c>
      <c r="B200" s="86"/>
      <c r="C200" s="109"/>
      <c r="D200" s="109"/>
      <c r="E200" s="109"/>
      <c r="F200" s="49"/>
      <c r="G200" s="49"/>
      <c r="H200" s="49"/>
      <c r="I200" s="49"/>
      <c r="J200" s="48"/>
      <c r="K200" s="48"/>
      <c r="L200" s="48"/>
      <c r="M200" s="48"/>
      <c r="N200" s="48"/>
    </row>
    <row r="201" spans="1:14" hidden="1" x14ac:dyDescent="0.25">
      <c r="A201" s="2" t="s">
        <v>216</v>
      </c>
      <c r="B201" s="86"/>
      <c r="C201" s="86"/>
      <c r="D201" s="86"/>
      <c r="E201" s="86"/>
      <c r="F201" s="49"/>
      <c r="G201" s="49"/>
      <c r="H201" s="49"/>
    </row>
    <row r="202" spans="1:14" hidden="1" x14ac:dyDescent="0.25">
      <c r="A202" s="2" t="s">
        <v>188</v>
      </c>
      <c r="B202" s="86"/>
      <c r="C202" s="86"/>
      <c r="D202" s="86"/>
      <c r="E202" s="86"/>
      <c r="F202" s="49"/>
      <c r="G202" s="49"/>
      <c r="H202" s="49"/>
    </row>
    <row r="203" spans="1:14" hidden="1" x14ac:dyDescent="0.25">
      <c r="A203" s="2" t="s">
        <v>86</v>
      </c>
      <c r="B203" s="86"/>
      <c r="C203" s="86"/>
      <c r="D203" s="86"/>
      <c r="E203" s="86"/>
      <c r="F203" s="49"/>
      <c r="G203" s="49"/>
      <c r="H203" s="49"/>
      <c r="I203" s="49"/>
      <c r="J203" s="48"/>
      <c r="K203" s="48"/>
      <c r="L203" s="48"/>
      <c r="M203" s="48"/>
      <c r="N203" s="48"/>
    </row>
    <row r="204" spans="1:14" hidden="1" x14ac:dyDescent="0.25">
      <c r="A204" s="2" t="s">
        <v>100</v>
      </c>
      <c r="B204" s="86"/>
      <c r="C204" s="86"/>
      <c r="D204" s="86"/>
      <c r="E204" s="86"/>
      <c r="F204" s="49"/>
      <c r="G204" s="49"/>
      <c r="H204" s="49"/>
    </row>
    <row r="205" spans="1:14" hidden="1" x14ac:dyDescent="0.25">
      <c r="A205" s="2" t="s">
        <v>91</v>
      </c>
      <c r="B205" s="86"/>
      <c r="C205" s="86"/>
      <c r="D205" s="86"/>
      <c r="E205" s="86"/>
      <c r="F205" s="49"/>
      <c r="G205" s="49"/>
      <c r="H205" s="49"/>
    </row>
    <row r="206" spans="1:14" hidden="1" x14ac:dyDescent="0.25">
      <c r="A206" s="2" t="s">
        <v>66</v>
      </c>
      <c r="B206" s="86"/>
      <c r="C206" s="86"/>
      <c r="D206" s="86"/>
      <c r="E206" s="86"/>
      <c r="F206" s="49"/>
      <c r="G206" s="49"/>
      <c r="H206" s="49"/>
    </row>
    <row r="207" spans="1:14" hidden="1" x14ac:dyDescent="0.25">
      <c r="A207" s="2" t="s">
        <v>166</v>
      </c>
      <c r="B207" s="86"/>
      <c r="C207" s="86"/>
      <c r="D207" s="86"/>
      <c r="E207" s="86"/>
      <c r="F207" s="49"/>
      <c r="G207" s="49"/>
      <c r="H207" s="49"/>
    </row>
    <row r="208" spans="1:14" hidden="1" x14ac:dyDescent="0.25">
      <c r="A208" s="2" t="s">
        <v>48</v>
      </c>
      <c r="B208" s="86"/>
      <c r="C208" s="86"/>
      <c r="D208" s="86"/>
      <c r="E208" s="2"/>
      <c r="F208" s="49"/>
      <c r="G208" s="49"/>
      <c r="H208" s="49"/>
    </row>
    <row r="209" spans="1:14" hidden="1" x14ac:dyDescent="0.25">
      <c r="A209" s="2" t="s">
        <v>169</v>
      </c>
      <c r="B209" s="86"/>
      <c r="C209" s="86"/>
      <c r="D209" s="86"/>
      <c r="E209" s="86"/>
      <c r="F209" s="49"/>
      <c r="G209" s="49"/>
      <c r="H209" s="49"/>
      <c r="I209" s="49"/>
      <c r="J209" s="48"/>
      <c r="K209" s="48"/>
      <c r="L209" s="48"/>
      <c r="M209" s="48"/>
      <c r="N209" s="48"/>
    </row>
    <row r="210" spans="1:14" hidden="1" x14ac:dyDescent="0.25">
      <c r="A210" s="2" t="s">
        <v>170</v>
      </c>
      <c r="B210" s="86"/>
      <c r="C210" s="86"/>
      <c r="D210" s="86"/>
      <c r="E210" s="86"/>
      <c r="F210" s="49"/>
      <c r="G210" s="49"/>
      <c r="H210" s="49"/>
      <c r="I210" s="49"/>
      <c r="J210" s="48"/>
      <c r="K210" s="48"/>
      <c r="L210" s="48"/>
      <c r="M210" s="48"/>
      <c r="N210" s="48"/>
    </row>
    <row r="211" spans="1:14" hidden="1" x14ac:dyDescent="0.25">
      <c r="A211" s="2" t="s">
        <v>171</v>
      </c>
      <c r="B211" s="86"/>
      <c r="C211" s="86"/>
      <c r="D211" s="86"/>
      <c r="E211" s="86"/>
      <c r="F211" s="49"/>
      <c r="G211" s="49"/>
      <c r="H211" s="49"/>
      <c r="I211" s="49"/>
      <c r="J211" s="48"/>
      <c r="K211" s="48"/>
      <c r="L211" s="48"/>
      <c r="M211" s="48"/>
      <c r="N211" s="48"/>
    </row>
    <row r="212" spans="1:14" hidden="1" x14ac:dyDescent="0.25">
      <c r="A212" s="2" t="s">
        <v>45</v>
      </c>
      <c r="B212" s="86"/>
      <c r="C212" s="86"/>
      <c r="D212" s="86"/>
      <c r="E212" s="86"/>
      <c r="F212" s="49"/>
      <c r="G212" s="49"/>
      <c r="H212" s="49"/>
      <c r="I212" s="49"/>
      <c r="J212" s="48"/>
      <c r="K212" s="48"/>
      <c r="L212" s="48"/>
      <c r="M212" s="48"/>
      <c r="N212" s="48"/>
    </row>
    <row r="213" spans="1:14" hidden="1" x14ac:dyDescent="0.25">
      <c r="A213" s="2" t="s">
        <v>56</v>
      </c>
      <c r="B213" s="86"/>
      <c r="C213" s="86"/>
      <c r="D213" s="86"/>
      <c r="E213" s="86"/>
      <c r="F213" s="49"/>
      <c r="G213" s="49"/>
      <c r="H213" s="49"/>
      <c r="I213" s="49"/>
      <c r="J213" s="48"/>
      <c r="K213" s="48"/>
      <c r="L213" s="48"/>
      <c r="M213" s="48"/>
      <c r="N213" s="48"/>
    </row>
    <row r="214" spans="1:14" hidden="1" x14ac:dyDescent="0.25">
      <c r="A214" s="2" t="s">
        <v>53</v>
      </c>
      <c r="B214" s="86"/>
      <c r="C214" s="86"/>
      <c r="D214" s="86"/>
      <c r="E214" s="86"/>
      <c r="F214" s="64"/>
      <c r="G214" s="64"/>
      <c r="H214" s="64"/>
      <c r="I214" s="49"/>
      <c r="J214" s="48"/>
      <c r="K214" s="48"/>
      <c r="L214" s="48"/>
      <c r="M214" s="48"/>
      <c r="N214" s="48"/>
    </row>
    <row r="215" spans="1:14" hidden="1" x14ac:dyDescent="0.25">
      <c r="A215" s="2" t="s">
        <v>79</v>
      </c>
      <c r="B215" s="86"/>
      <c r="C215" s="86"/>
      <c r="D215" s="86"/>
      <c r="E215" s="86"/>
      <c r="F215" s="49"/>
      <c r="G215" s="49"/>
      <c r="H215" s="49"/>
      <c r="I215" s="49"/>
      <c r="J215" s="48"/>
      <c r="K215" s="48"/>
      <c r="L215" s="48"/>
      <c r="M215" s="48"/>
      <c r="N215" s="48"/>
    </row>
    <row r="216" spans="1:14" s="1" customFormat="1" hidden="1" x14ac:dyDescent="0.25">
      <c r="A216" s="2" t="s">
        <v>110</v>
      </c>
      <c r="B216" s="86"/>
      <c r="C216" s="86"/>
      <c r="D216" s="86"/>
      <c r="E216" s="86"/>
      <c r="F216" s="49"/>
      <c r="G216" s="49"/>
      <c r="H216" s="49"/>
      <c r="I216" s="49"/>
      <c r="J216" s="48"/>
      <c r="K216" s="48"/>
      <c r="L216" s="48"/>
      <c r="M216" s="48"/>
      <c r="N216" s="48"/>
    </row>
    <row r="217" spans="1:14" hidden="1" x14ac:dyDescent="0.25">
      <c r="A217" s="2" t="s">
        <v>85</v>
      </c>
      <c r="B217" s="86"/>
      <c r="C217" s="86"/>
      <c r="D217" s="86"/>
      <c r="E217" s="86"/>
      <c r="F217" s="49"/>
      <c r="G217" s="49"/>
      <c r="H217" s="49"/>
      <c r="I217" s="49"/>
      <c r="J217" s="48"/>
      <c r="K217" s="48"/>
      <c r="L217" s="48"/>
      <c r="M217" s="48"/>
      <c r="N217" s="48"/>
    </row>
    <row r="218" spans="1:14" hidden="1" x14ac:dyDescent="0.25">
      <c r="A218" s="10" t="s">
        <v>14</v>
      </c>
      <c r="B218" s="86"/>
      <c r="C218" s="86"/>
      <c r="D218" s="86"/>
      <c r="E218" s="86"/>
      <c r="F218" s="49"/>
      <c r="G218" s="49"/>
      <c r="H218" s="49"/>
    </row>
    <row r="219" spans="1:14" hidden="1" x14ac:dyDescent="0.25">
      <c r="A219" s="2" t="s">
        <v>38</v>
      </c>
      <c r="B219" s="86"/>
      <c r="C219" s="86"/>
      <c r="D219" s="86"/>
      <c r="E219" s="86"/>
      <c r="F219" s="49"/>
      <c r="G219" s="49"/>
      <c r="H219" s="49"/>
    </row>
    <row r="220" spans="1:14" hidden="1" x14ac:dyDescent="0.25">
      <c r="A220" s="2" t="s">
        <v>63</v>
      </c>
      <c r="B220" s="86"/>
      <c r="C220" s="86"/>
      <c r="D220" s="86"/>
      <c r="E220" s="86"/>
      <c r="F220" s="49"/>
      <c r="G220" s="49"/>
      <c r="H220" s="49"/>
    </row>
    <row r="221" spans="1:14" hidden="1" x14ac:dyDescent="0.25">
      <c r="A221" s="2" t="s">
        <v>77</v>
      </c>
      <c r="B221" s="86"/>
      <c r="C221" s="86"/>
      <c r="D221" s="86"/>
      <c r="E221" s="86"/>
      <c r="F221" s="49"/>
      <c r="G221" s="49"/>
      <c r="H221" s="49"/>
    </row>
    <row r="222" spans="1:14" hidden="1" x14ac:dyDescent="0.25">
      <c r="A222" s="10" t="s">
        <v>102</v>
      </c>
      <c r="B222" s="86"/>
      <c r="C222" s="86"/>
      <c r="D222" s="86"/>
      <c r="E222" s="86"/>
      <c r="F222" s="49"/>
      <c r="G222" s="49"/>
      <c r="H222" s="49"/>
    </row>
    <row r="223" spans="1:14" hidden="1" x14ac:dyDescent="0.25">
      <c r="A223" s="10" t="s">
        <v>11</v>
      </c>
      <c r="B223" s="86"/>
      <c r="C223" s="86"/>
      <c r="D223" s="86"/>
      <c r="E223" s="86"/>
      <c r="F223" s="49"/>
      <c r="G223" s="49"/>
      <c r="H223" s="49"/>
    </row>
    <row r="224" spans="1:14" hidden="1" x14ac:dyDescent="0.25">
      <c r="A224" s="10" t="s">
        <v>95</v>
      </c>
      <c r="B224" s="86"/>
      <c r="C224" s="86"/>
      <c r="D224" s="86"/>
      <c r="E224" s="86"/>
      <c r="F224" s="49"/>
      <c r="G224" s="49"/>
      <c r="H224" s="49"/>
    </row>
    <row r="225" spans="1:8" hidden="1" x14ac:dyDescent="0.25">
      <c r="A225" s="2" t="s">
        <v>92</v>
      </c>
      <c r="B225" s="86"/>
      <c r="C225" s="86"/>
      <c r="D225" s="86"/>
      <c r="E225" s="86"/>
      <c r="F225" s="49"/>
      <c r="G225" s="49"/>
      <c r="H225" s="49"/>
    </row>
    <row r="226" spans="1:8" hidden="1" x14ac:dyDescent="0.25">
      <c r="A226" s="2" t="s">
        <v>89</v>
      </c>
      <c r="B226" s="86"/>
      <c r="C226" s="86"/>
      <c r="D226" s="86"/>
      <c r="E226" s="86"/>
      <c r="F226" s="49"/>
      <c r="G226" s="49"/>
      <c r="H226" s="49"/>
    </row>
    <row r="227" spans="1:8" hidden="1" x14ac:dyDescent="0.25">
      <c r="A227" s="2" t="s">
        <v>90</v>
      </c>
      <c r="B227" s="86"/>
      <c r="C227" s="86"/>
      <c r="D227" s="86"/>
      <c r="E227" s="86"/>
      <c r="F227" s="49"/>
      <c r="G227" s="49"/>
      <c r="H227" s="49"/>
    </row>
    <row r="228" spans="1:8" hidden="1" x14ac:dyDescent="0.25">
      <c r="A228" s="2" t="s">
        <v>87</v>
      </c>
      <c r="B228" s="86"/>
      <c r="C228" s="86"/>
      <c r="D228" s="86"/>
      <c r="E228" s="86"/>
      <c r="F228" s="49"/>
      <c r="G228" s="49"/>
      <c r="H228" s="49"/>
    </row>
    <row r="229" spans="1:8" hidden="1" x14ac:dyDescent="0.25">
      <c r="A229" s="2" t="s">
        <v>83</v>
      </c>
      <c r="B229" s="86"/>
      <c r="C229" s="86"/>
      <c r="D229" s="86"/>
      <c r="E229" s="86"/>
      <c r="F229" s="49"/>
      <c r="G229" s="49"/>
      <c r="H229" s="49"/>
    </row>
    <row r="230" spans="1:8" hidden="1" x14ac:dyDescent="0.25">
      <c r="A230" s="2" t="s">
        <v>46</v>
      </c>
      <c r="B230" s="86"/>
      <c r="C230" s="86"/>
      <c r="D230" s="86"/>
      <c r="E230" s="86"/>
      <c r="F230" s="49"/>
      <c r="G230" s="49"/>
      <c r="H230" s="49"/>
    </row>
    <row r="231" spans="1:8" hidden="1" x14ac:dyDescent="0.25">
      <c r="A231" s="2" t="s">
        <v>58</v>
      </c>
      <c r="B231" s="86"/>
      <c r="C231" s="86"/>
      <c r="D231" s="86"/>
      <c r="E231" s="86"/>
      <c r="F231" s="49"/>
      <c r="G231" s="49"/>
      <c r="H231" s="49"/>
    </row>
    <row r="232" spans="1:8" hidden="1" x14ac:dyDescent="0.25">
      <c r="A232" s="2" t="s">
        <v>78</v>
      </c>
      <c r="B232" s="86"/>
      <c r="C232" s="86"/>
      <c r="D232" s="86"/>
      <c r="E232" s="86"/>
      <c r="F232" s="49"/>
      <c r="G232" s="49"/>
      <c r="H232" s="49"/>
    </row>
    <row r="233" spans="1:8" hidden="1" x14ac:dyDescent="0.25">
      <c r="A233" s="2" t="s">
        <v>37</v>
      </c>
      <c r="B233" s="86"/>
      <c r="C233" s="86"/>
      <c r="D233" s="86"/>
      <c r="E233" s="86"/>
      <c r="F233" s="49"/>
      <c r="G233" s="49"/>
      <c r="H233" s="49"/>
    </row>
    <row r="234" spans="1:8" hidden="1" x14ac:dyDescent="0.25">
      <c r="A234" s="2" t="s">
        <v>75</v>
      </c>
      <c r="B234" s="86"/>
      <c r="C234" s="86"/>
      <c r="D234" s="86"/>
      <c r="E234" s="86"/>
      <c r="F234" s="49"/>
      <c r="G234" s="49"/>
      <c r="H234" s="49"/>
    </row>
    <row r="235" spans="1:8" hidden="1" x14ac:dyDescent="0.25">
      <c r="A235" s="2" t="s">
        <v>18</v>
      </c>
      <c r="B235" s="86"/>
      <c r="C235" s="86"/>
      <c r="D235" s="86"/>
      <c r="E235" s="86"/>
      <c r="F235" s="49"/>
      <c r="G235" s="49"/>
      <c r="H235" s="49"/>
    </row>
    <row r="236" spans="1:8" hidden="1" x14ac:dyDescent="0.25">
      <c r="A236" s="2" t="s">
        <v>51</v>
      </c>
      <c r="B236" s="86"/>
      <c r="C236" s="86"/>
      <c r="D236" s="86"/>
      <c r="E236" s="86"/>
      <c r="F236" s="49"/>
      <c r="G236" s="49"/>
      <c r="H236" s="49"/>
    </row>
    <row r="237" spans="1:8" hidden="1" x14ac:dyDescent="0.25">
      <c r="A237" s="2" t="s">
        <v>72</v>
      </c>
      <c r="B237" s="86"/>
      <c r="C237" s="86"/>
      <c r="D237" s="86"/>
      <c r="E237" s="86"/>
      <c r="F237" s="49"/>
      <c r="G237" s="49"/>
      <c r="H237" s="49"/>
    </row>
    <row r="238" spans="1:8" hidden="1" x14ac:dyDescent="0.25">
      <c r="A238" s="2" t="s">
        <v>69</v>
      </c>
      <c r="B238" s="86"/>
      <c r="C238" s="86"/>
      <c r="D238" s="86"/>
      <c r="E238" s="86"/>
      <c r="F238" s="49"/>
      <c r="G238" s="49"/>
      <c r="H238" s="49"/>
    </row>
    <row r="239" spans="1:8" hidden="1" x14ac:dyDescent="0.25">
      <c r="A239" s="2" t="s">
        <v>67</v>
      </c>
      <c r="B239" s="86"/>
      <c r="C239" s="86"/>
      <c r="D239" s="86"/>
      <c r="E239" s="86"/>
      <c r="F239" s="49"/>
      <c r="G239" s="49"/>
      <c r="H239" s="49"/>
    </row>
    <row r="240" spans="1:8" hidden="1" x14ac:dyDescent="0.25">
      <c r="A240" s="2" t="s">
        <v>70</v>
      </c>
      <c r="B240" s="86"/>
      <c r="C240" s="86"/>
      <c r="D240" s="86"/>
      <c r="E240" s="86"/>
      <c r="F240" s="49"/>
      <c r="G240" s="49"/>
      <c r="H240" s="49"/>
    </row>
    <row r="241" spans="1:14" hidden="1" x14ac:dyDescent="0.25">
      <c r="A241" s="10" t="s">
        <v>65</v>
      </c>
      <c r="B241" s="86"/>
      <c r="C241" s="86"/>
      <c r="D241" s="86"/>
      <c r="E241" s="86"/>
      <c r="F241" s="49"/>
      <c r="G241" s="49"/>
      <c r="H241" s="49"/>
    </row>
    <row r="242" spans="1:14" hidden="1" x14ac:dyDescent="0.25">
      <c r="A242" s="2" t="s">
        <v>47</v>
      </c>
      <c r="B242" s="86"/>
      <c r="C242" s="86"/>
      <c r="D242" s="86"/>
      <c r="E242" s="86"/>
      <c r="F242" s="49"/>
      <c r="G242" s="49"/>
      <c r="H242" s="49"/>
    </row>
    <row r="243" spans="1:14" hidden="1" x14ac:dyDescent="0.25">
      <c r="A243" s="2" t="s">
        <v>64</v>
      </c>
      <c r="B243" s="86"/>
      <c r="C243" s="86"/>
      <c r="D243" s="86"/>
      <c r="E243" s="86"/>
      <c r="F243" s="49"/>
      <c r="G243" s="49"/>
      <c r="H243" s="49"/>
    </row>
    <row r="244" spans="1:14" hidden="1" x14ac:dyDescent="0.25">
      <c r="A244" s="9" t="s">
        <v>27</v>
      </c>
      <c r="B244" s="86"/>
      <c r="C244" s="86"/>
      <c r="D244" s="86"/>
      <c r="E244" s="86"/>
      <c r="F244" s="49"/>
      <c r="G244" s="49"/>
      <c r="H244" s="49"/>
    </row>
    <row r="245" spans="1:14" hidden="1" x14ac:dyDescent="0.25">
      <c r="A245" s="2" t="s">
        <v>19</v>
      </c>
      <c r="B245" s="86"/>
      <c r="C245" s="86"/>
      <c r="D245" s="86"/>
      <c r="E245" s="86"/>
      <c r="F245" s="49"/>
      <c r="G245" s="49"/>
      <c r="H245" s="49"/>
    </row>
    <row r="246" spans="1:14" hidden="1" x14ac:dyDescent="0.25">
      <c r="A246" s="2" t="s">
        <v>31</v>
      </c>
      <c r="B246" s="86"/>
      <c r="C246" s="86"/>
      <c r="D246" s="86"/>
      <c r="E246" s="86"/>
      <c r="F246" s="49"/>
      <c r="G246" s="49"/>
      <c r="H246" s="49"/>
    </row>
    <row r="247" spans="1:14" hidden="1" x14ac:dyDescent="0.25">
      <c r="A247" s="2" t="s">
        <v>49</v>
      </c>
      <c r="B247" s="86"/>
      <c r="C247" s="86"/>
      <c r="D247" s="86"/>
      <c r="E247" s="86"/>
      <c r="F247" s="49"/>
      <c r="G247" s="49"/>
      <c r="H247" s="49"/>
    </row>
    <row r="248" spans="1:14" hidden="1" x14ac:dyDescent="0.25">
      <c r="A248" s="2" t="s">
        <v>50</v>
      </c>
      <c r="B248" s="86"/>
      <c r="C248" s="86"/>
      <c r="D248" s="86"/>
      <c r="E248" s="86"/>
      <c r="F248" s="49"/>
      <c r="G248" s="49"/>
      <c r="H248" s="49"/>
    </row>
    <row r="249" spans="1:14" hidden="1" x14ac:dyDescent="0.25">
      <c r="A249" s="2" t="s">
        <v>55</v>
      </c>
      <c r="B249" s="86"/>
      <c r="C249" s="86"/>
      <c r="D249" s="86"/>
      <c r="E249" s="86"/>
      <c r="F249" s="49"/>
      <c r="G249" s="49"/>
      <c r="H249" s="49"/>
    </row>
    <row r="250" spans="1:14" hidden="1" x14ac:dyDescent="0.25">
      <c r="A250" s="2" t="s">
        <v>57</v>
      </c>
      <c r="B250" s="86"/>
      <c r="C250" s="86"/>
      <c r="D250" s="86"/>
      <c r="E250" s="86"/>
      <c r="F250" s="49"/>
      <c r="G250" s="49"/>
      <c r="H250" s="49"/>
    </row>
    <row r="251" spans="1:14" hidden="1" x14ac:dyDescent="0.25">
      <c r="A251" s="2" t="s">
        <v>60</v>
      </c>
      <c r="B251" s="86"/>
      <c r="C251" s="86"/>
      <c r="D251" s="86"/>
      <c r="E251" s="86"/>
      <c r="F251" s="49"/>
      <c r="G251" s="49"/>
      <c r="H251" s="49"/>
    </row>
    <row r="252" spans="1:14" hidden="1" x14ac:dyDescent="0.25">
      <c r="A252" s="2"/>
      <c r="B252" s="86"/>
      <c r="C252" s="86"/>
      <c r="D252" s="86"/>
      <c r="E252" s="86"/>
      <c r="F252" s="49"/>
      <c r="G252" s="49"/>
      <c r="H252" s="49"/>
    </row>
    <row r="253" spans="1:14" hidden="1" x14ac:dyDescent="0.25">
      <c r="A253" s="2" t="s">
        <v>61</v>
      </c>
      <c r="B253" s="86"/>
      <c r="C253" s="86"/>
      <c r="D253" s="86"/>
      <c r="E253" s="86"/>
      <c r="F253" s="49"/>
      <c r="G253" s="49"/>
      <c r="H253" s="49"/>
    </row>
    <row r="254" spans="1:14" x14ac:dyDescent="0.25">
      <c r="A254" s="2"/>
      <c r="B254" s="14"/>
      <c r="C254" s="14"/>
      <c r="D254" s="14"/>
      <c r="E254" s="14"/>
      <c r="F254" s="63"/>
      <c r="G254" s="63"/>
      <c r="H254" s="63"/>
    </row>
    <row r="255" spans="1:14" ht="15.75" thickBot="1" x14ac:dyDescent="0.3">
      <c r="A255" s="7" t="s">
        <v>16</v>
      </c>
      <c r="B255" s="8">
        <f>SUM(B140:B254)</f>
        <v>90.748819999999995</v>
      </c>
      <c r="C255" s="8">
        <f>SUM(C140:C254)</f>
        <v>253.09353000000002</v>
      </c>
      <c r="D255" s="8">
        <f>SUM(D140:D254)</f>
        <v>202.21430999999998</v>
      </c>
      <c r="E255" s="8">
        <f>SUM(E140:E254)</f>
        <v>370.37711000000007</v>
      </c>
      <c r="F255" s="49"/>
      <c r="G255" s="49"/>
      <c r="H255" s="49"/>
    </row>
    <row r="256" spans="1:14" ht="15.75" thickBot="1" x14ac:dyDescent="0.3">
      <c r="A256" s="2"/>
      <c r="B256" s="2"/>
      <c r="C256" s="2"/>
      <c r="D256" s="2"/>
      <c r="E256" s="2"/>
      <c r="F256" s="1"/>
      <c r="I256" s="21" t="s">
        <v>116</v>
      </c>
      <c r="J256" s="23" t="s">
        <v>115</v>
      </c>
      <c r="K256" s="23">
        <v>2016</v>
      </c>
      <c r="L256" s="22">
        <v>2017</v>
      </c>
      <c r="M256" s="28" t="s">
        <v>154</v>
      </c>
      <c r="N256" s="29" t="s">
        <v>153</v>
      </c>
    </row>
    <row r="257" spans="1:14" x14ac:dyDescent="0.25">
      <c r="A257" s="11" t="s">
        <v>200</v>
      </c>
      <c r="B257" s="12">
        <f>B121+B138-B255</f>
        <v>468.83817999999997</v>
      </c>
      <c r="C257" s="12">
        <f>C121+C138-C255</f>
        <v>606.56164999999999</v>
      </c>
      <c r="D257" s="12">
        <f>D121+D138-D255</f>
        <v>641.07813999999996</v>
      </c>
      <c r="E257" s="12">
        <f>E121+E138-E255</f>
        <v>2239.4026800000001</v>
      </c>
      <c r="I257" s="19" t="s">
        <v>113</v>
      </c>
      <c r="J257" s="24"/>
      <c r="K257" s="24" t="e">
        <f>E166+#REF!</f>
        <v>#REF!</v>
      </c>
      <c r="L257" s="25" t="e">
        <f>SUM(B140:E165)+#REF!+SUM(B167:E180)</f>
        <v>#REF!</v>
      </c>
      <c r="M257" s="24"/>
      <c r="N257" s="24"/>
    </row>
    <row r="258" spans="1:14" ht="15.75" thickBot="1" x14ac:dyDescent="0.3">
      <c r="A258" s="4" t="s">
        <v>201</v>
      </c>
      <c r="B258" s="5">
        <f>B257/0.0042</f>
        <v>111628.1380952381</v>
      </c>
      <c r="C258" s="5">
        <f>C257/0.0042</f>
        <v>144419.44047619047</v>
      </c>
      <c r="D258" s="5">
        <f>D257/0.0042</f>
        <v>152637.65238095238</v>
      </c>
      <c r="E258" s="5">
        <f>E257/0.0042</f>
        <v>533191.11428571434</v>
      </c>
      <c r="I258" s="20" t="s">
        <v>114</v>
      </c>
      <c r="J258" s="26">
        <f>J257/4</f>
        <v>0</v>
      </c>
      <c r="K258" s="26" t="e">
        <f>K257/4</f>
        <v>#REF!</v>
      </c>
      <c r="L258" s="27" t="e">
        <f>L257/4</f>
        <v>#REF!</v>
      </c>
      <c r="M258" s="26" t="e">
        <f>SUM(J258:L258)</f>
        <v>#REF!</v>
      </c>
      <c r="N258" s="26" t="e">
        <f>SUM(K258:L258)</f>
        <v>#REF!</v>
      </c>
    </row>
    <row r="260" spans="1:14" x14ac:dyDescent="0.25">
      <c r="C260" s="92"/>
      <c r="E260" s="92"/>
    </row>
  </sheetData>
  <mergeCells count="1">
    <mergeCell ref="B6:D6"/>
  </mergeCells>
  <pageMargins left="0.35433070866141736" right="0.27559055118110237" top="0.74803149606299213" bottom="0.74803149606299213" header="0.31496062992125984" footer="0.31496062992125984"/>
  <pageSetup paperSize="9" scale="67" orientation="portrait" horizontalDpi="4294967293" verticalDpi="4294967293" r:id="rId1"/>
  <rowBreaks count="1" manualBreakCount="1">
    <brk id="117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62"/>
  <sheetViews>
    <sheetView workbookViewId="0">
      <pane xSplit="1" ySplit="3" topLeftCell="B154" activePane="bottomRight" state="frozen"/>
      <selection pane="topRight" activeCell="B1" sqref="B1"/>
      <selection pane="bottomLeft" activeCell="A4" sqref="A4"/>
      <selection pane="bottomRight" activeCell="A175" sqref="A175"/>
    </sheetView>
  </sheetViews>
  <sheetFormatPr defaultRowHeight="15" outlineLevelRow="1" x14ac:dyDescent="0.25"/>
  <cols>
    <col min="1" max="1" width="52" bestFit="1" customWidth="1"/>
    <col min="2" max="2" width="11.42578125" bestFit="1" customWidth="1"/>
    <col min="3" max="3" width="14" bestFit="1" customWidth="1"/>
    <col min="4" max="4" width="9.7109375" customWidth="1"/>
    <col min="5" max="6" width="10.5703125" customWidth="1"/>
    <col min="7" max="7" width="4" bestFit="1" customWidth="1"/>
    <col min="9" max="9" width="10.140625" customWidth="1"/>
    <col min="11" max="11" width="22.7109375" bestFit="1" customWidth="1"/>
    <col min="12" max="12" width="10.85546875" customWidth="1"/>
    <col min="13" max="13" width="14" bestFit="1" customWidth="1"/>
    <col min="14" max="14" width="19" bestFit="1" customWidth="1"/>
    <col min="15" max="15" width="20.42578125" bestFit="1" customWidth="1"/>
  </cols>
  <sheetData>
    <row r="1" spans="1:16" x14ac:dyDescent="0.25">
      <c r="J1" s="48"/>
      <c r="K1" s="48"/>
      <c r="L1" s="48"/>
      <c r="M1" s="48"/>
      <c r="N1" s="48"/>
      <c r="O1" s="48"/>
    </row>
    <row r="2" spans="1:16" x14ac:dyDescent="0.25">
      <c r="J2" s="48"/>
      <c r="K2" s="48"/>
      <c r="L2" s="48"/>
      <c r="M2" s="48"/>
      <c r="N2" s="48"/>
      <c r="O2" s="48"/>
    </row>
    <row r="3" spans="1:16" s="1" customFormat="1" x14ac:dyDescent="0.25">
      <c r="J3" s="49"/>
      <c r="K3" s="49"/>
      <c r="L3" s="49"/>
      <c r="M3" s="49"/>
      <c r="N3" s="49"/>
      <c r="O3" s="49"/>
    </row>
    <row r="4" spans="1:16" s="1" customFormat="1" hidden="1" x14ac:dyDescent="0.25">
      <c r="A4" s="46" t="s">
        <v>139</v>
      </c>
      <c r="B4" s="47">
        <v>4.2</v>
      </c>
      <c r="C4" s="49"/>
      <c r="D4" s="49"/>
      <c r="J4" s="49"/>
      <c r="O4" s="49"/>
    </row>
    <row r="5" spans="1:16" hidden="1" x14ac:dyDescent="0.25">
      <c r="A5" s="48"/>
      <c r="B5" s="48"/>
      <c r="C5" s="48"/>
      <c r="D5" s="48"/>
      <c r="J5" s="49"/>
      <c r="O5" s="48"/>
      <c r="P5" s="48"/>
    </row>
    <row r="6" spans="1:16" ht="15.75" hidden="1" x14ac:dyDescent="0.25">
      <c r="A6" s="30" t="s">
        <v>118</v>
      </c>
      <c r="B6" s="150" t="s">
        <v>213</v>
      </c>
      <c r="C6" s="150"/>
      <c r="D6" s="150"/>
      <c r="J6" s="49"/>
      <c r="O6" s="48"/>
    </row>
    <row r="7" spans="1:16" ht="16.5" hidden="1" thickBot="1" x14ac:dyDescent="0.3">
      <c r="A7" s="30" t="s">
        <v>144</v>
      </c>
      <c r="B7" s="50" t="s">
        <v>140</v>
      </c>
      <c r="C7" s="50" t="s">
        <v>141</v>
      </c>
      <c r="D7" s="51" t="s">
        <v>142</v>
      </c>
      <c r="H7" s="97"/>
      <c r="I7" s="97"/>
      <c r="J7" s="49"/>
      <c r="O7" s="48"/>
    </row>
    <row r="8" spans="1:16" hidden="1" x14ac:dyDescent="0.25">
      <c r="A8" s="31" t="s">
        <v>119</v>
      </c>
      <c r="B8" s="38"/>
      <c r="C8" s="48"/>
      <c r="D8" s="48"/>
      <c r="J8" s="49"/>
      <c r="O8" s="48"/>
    </row>
    <row r="9" spans="1:16" hidden="1" x14ac:dyDescent="0.25">
      <c r="A9" s="32" t="s">
        <v>120</v>
      </c>
      <c r="B9" s="39">
        <f>84.5*B4</f>
        <v>354.90000000000003</v>
      </c>
      <c r="C9" s="39" t="e">
        <f>C10+C11+C12</f>
        <v>#REF!</v>
      </c>
      <c r="D9" s="39" t="e">
        <f>C9-B9</f>
        <v>#REF!</v>
      </c>
      <c r="H9" s="95"/>
      <c r="I9" s="95"/>
      <c r="J9" s="98"/>
      <c r="O9" s="48"/>
    </row>
    <row r="10" spans="1:16" hidden="1" x14ac:dyDescent="0.25">
      <c r="A10" s="79" t="s">
        <v>2</v>
      </c>
      <c r="B10" s="80"/>
      <c r="C10" s="80">
        <f>B123+C123</f>
        <v>0</v>
      </c>
      <c r="D10" s="80"/>
      <c r="J10" s="98"/>
      <c r="O10" s="48"/>
    </row>
    <row r="11" spans="1:16" hidden="1" x14ac:dyDescent="0.25">
      <c r="A11" s="79" t="s">
        <v>74</v>
      </c>
      <c r="B11" s="80"/>
      <c r="C11" s="80" t="e">
        <f>#REF!</f>
        <v>#REF!</v>
      </c>
      <c r="D11" s="80"/>
      <c r="J11" s="98"/>
      <c r="O11" s="48"/>
    </row>
    <row r="12" spans="1:16" hidden="1" x14ac:dyDescent="0.25">
      <c r="A12" s="79" t="s">
        <v>214</v>
      </c>
      <c r="B12" s="80"/>
      <c r="C12" s="80">
        <f>SUM(B133:E133)</f>
        <v>429.19164999999998</v>
      </c>
      <c r="D12" s="80"/>
      <c r="J12" s="98"/>
      <c r="O12" s="48"/>
    </row>
    <row r="13" spans="1:16" hidden="1" x14ac:dyDescent="0.25">
      <c r="A13" s="33"/>
      <c r="B13" s="40"/>
      <c r="C13" s="40"/>
      <c r="D13" s="40"/>
      <c r="J13" s="98"/>
      <c r="O13" s="48"/>
    </row>
    <row r="14" spans="1:16" hidden="1" x14ac:dyDescent="0.25">
      <c r="A14" s="33" t="s">
        <v>121</v>
      </c>
      <c r="B14" s="40">
        <v>0</v>
      </c>
      <c r="C14" s="40">
        <f>SUM(C15:C17)</f>
        <v>0</v>
      </c>
      <c r="D14" s="40">
        <f>C14-B14</f>
        <v>0</v>
      </c>
      <c r="H14" s="95"/>
      <c r="I14" s="95"/>
      <c r="J14" s="98"/>
      <c r="O14" s="48"/>
    </row>
    <row r="15" spans="1:16" hidden="1" outlineLevel="1" x14ac:dyDescent="0.25">
      <c r="A15" s="81" t="s">
        <v>8</v>
      </c>
      <c r="B15" s="40"/>
      <c r="C15" s="82">
        <f>-D202-E202</f>
        <v>0</v>
      </c>
      <c r="D15" s="40"/>
      <c r="J15" s="98"/>
      <c r="O15" s="48"/>
    </row>
    <row r="16" spans="1:16" hidden="1" outlineLevel="1" x14ac:dyDescent="0.25">
      <c r="A16" s="81" t="s">
        <v>22</v>
      </c>
      <c r="B16" s="40"/>
      <c r="C16" s="82">
        <f>B188</f>
        <v>0</v>
      </c>
      <c r="D16" s="40"/>
      <c r="J16" s="98"/>
      <c r="O16" s="48"/>
    </row>
    <row r="17" spans="1:15" hidden="1" outlineLevel="1" x14ac:dyDescent="0.25">
      <c r="A17" s="81" t="s">
        <v>79</v>
      </c>
      <c r="B17" s="40"/>
      <c r="C17" s="82"/>
      <c r="D17" s="40"/>
      <c r="J17" s="98"/>
      <c r="O17" s="48"/>
    </row>
    <row r="18" spans="1:15" hidden="1" x14ac:dyDescent="0.25">
      <c r="A18" s="33"/>
      <c r="B18" s="40"/>
      <c r="C18" s="40"/>
      <c r="D18" s="40"/>
      <c r="J18" s="98"/>
      <c r="O18" s="48"/>
    </row>
    <row r="19" spans="1:15" hidden="1" x14ac:dyDescent="0.25">
      <c r="A19" s="33" t="s">
        <v>122</v>
      </c>
      <c r="B19" s="40">
        <v>0</v>
      </c>
      <c r="C19" s="40"/>
      <c r="D19" s="40">
        <f>C19-B19</f>
        <v>0</v>
      </c>
      <c r="H19" s="95"/>
      <c r="I19" s="95"/>
      <c r="J19" s="98"/>
      <c r="O19" s="48"/>
    </row>
    <row r="20" spans="1:15" hidden="1" x14ac:dyDescent="0.25">
      <c r="A20" s="33" t="s">
        <v>123</v>
      </c>
      <c r="B20" s="40">
        <f>-121.541662578305*B4</f>
        <v>-510.47498282888097</v>
      </c>
      <c r="C20" s="40">
        <f>SUM(C21:C25)</f>
        <v>-953.07399999999996</v>
      </c>
      <c r="D20" s="40">
        <f>C20-B20</f>
        <v>-442.59901717111899</v>
      </c>
      <c r="H20" s="95"/>
      <c r="I20" s="95"/>
      <c r="J20" s="98"/>
      <c r="O20" s="48"/>
    </row>
    <row r="21" spans="1:15" hidden="1" outlineLevel="1" x14ac:dyDescent="0.25">
      <c r="A21" s="81" t="s">
        <v>103</v>
      </c>
      <c r="B21" s="40"/>
      <c r="C21" s="82">
        <f>-(C142+E142)</f>
        <v>-232.929</v>
      </c>
      <c r="D21" s="40"/>
      <c r="J21" s="98"/>
      <c r="O21" s="48"/>
    </row>
    <row r="22" spans="1:15" hidden="1" outlineLevel="1" x14ac:dyDescent="0.25">
      <c r="A22" s="81" t="s">
        <v>147</v>
      </c>
      <c r="B22" s="40"/>
      <c r="C22" s="82">
        <f>-(E144+E153)-SUM(C160:E160)</f>
        <v>-716.14499999999998</v>
      </c>
      <c r="D22" s="40"/>
      <c r="J22" s="98"/>
      <c r="O22" s="48"/>
    </row>
    <row r="23" spans="1:15" hidden="1" outlineLevel="1" x14ac:dyDescent="0.25">
      <c r="A23" s="81" t="s">
        <v>146</v>
      </c>
      <c r="B23" s="40"/>
      <c r="C23" s="82"/>
      <c r="D23" s="40"/>
      <c r="J23" s="98"/>
      <c r="O23" s="48"/>
    </row>
    <row r="24" spans="1:15" hidden="1" outlineLevel="1" x14ac:dyDescent="0.25">
      <c r="A24" s="81" t="s">
        <v>189</v>
      </c>
      <c r="B24" s="40"/>
      <c r="C24" s="82"/>
      <c r="D24" s="40"/>
      <c r="J24" s="98"/>
      <c r="O24" s="48"/>
    </row>
    <row r="25" spans="1:15" hidden="1" outlineLevel="1" x14ac:dyDescent="0.25">
      <c r="A25" s="81" t="s">
        <v>98</v>
      </c>
      <c r="B25" s="40"/>
      <c r="C25" s="82">
        <f>-C163</f>
        <v>-4</v>
      </c>
      <c r="D25" s="40"/>
      <c r="J25" s="98"/>
      <c r="O25" s="48"/>
    </row>
    <row r="26" spans="1:15" hidden="1" x14ac:dyDescent="0.25">
      <c r="A26" s="52" t="s">
        <v>143</v>
      </c>
      <c r="B26" s="53">
        <v>0</v>
      </c>
      <c r="C26" s="53" t="e">
        <f>SUM(C27:C29)</f>
        <v>#REF!</v>
      </c>
      <c r="D26" s="53" t="e">
        <f>C26-B26</f>
        <v>#REF!</v>
      </c>
      <c r="H26" s="95"/>
      <c r="I26" s="95"/>
      <c r="J26" s="98"/>
      <c r="O26" s="48"/>
    </row>
    <row r="27" spans="1:15" hidden="1" outlineLevel="1" x14ac:dyDescent="0.25">
      <c r="A27" s="81" t="s">
        <v>149</v>
      </c>
      <c r="B27" s="53"/>
      <c r="C27" s="82" t="e">
        <f>-#REF!</f>
        <v>#REF!</v>
      </c>
      <c r="D27" s="53"/>
      <c r="J27" s="98"/>
      <c r="O27" s="48"/>
    </row>
    <row r="28" spans="1:15" hidden="1" outlineLevel="1" x14ac:dyDescent="0.25">
      <c r="A28" s="81" t="s">
        <v>167</v>
      </c>
      <c r="B28" s="53"/>
      <c r="C28" s="82"/>
      <c r="D28" s="53"/>
      <c r="J28" s="98"/>
      <c r="O28" s="48"/>
    </row>
    <row r="29" spans="1:15" hidden="1" outlineLevel="1" x14ac:dyDescent="0.25">
      <c r="A29" s="81" t="s">
        <v>196</v>
      </c>
      <c r="B29" s="53"/>
      <c r="C29" s="82">
        <f>-E195</f>
        <v>0</v>
      </c>
      <c r="D29" s="53"/>
      <c r="J29" s="98"/>
      <c r="O29" s="48"/>
    </row>
    <row r="30" spans="1:15" hidden="1" x14ac:dyDescent="0.25">
      <c r="A30" s="33" t="s">
        <v>124</v>
      </c>
      <c r="B30" s="40">
        <f>-71.5157508348324*B4</f>
        <v>-300.36615350629609</v>
      </c>
      <c r="C30" s="83" t="e">
        <f>SUM(C31:C71)</f>
        <v>#REF!</v>
      </c>
      <c r="D30" s="40" t="e">
        <f>C30-B30</f>
        <v>#REF!</v>
      </c>
      <c r="H30" s="95"/>
      <c r="I30" s="95"/>
      <c r="J30" s="98"/>
      <c r="O30" s="48"/>
    </row>
    <row r="31" spans="1:15" hidden="1" outlineLevel="1" x14ac:dyDescent="0.25">
      <c r="A31" s="81" t="s">
        <v>29</v>
      </c>
      <c r="B31" s="40"/>
      <c r="C31" s="83">
        <f>-D146</f>
        <v>-69.058000000000007</v>
      </c>
      <c r="D31" s="40"/>
      <c r="J31" s="98"/>
      <c r="O31" s="48"/>
    </row>
    <row r="32" spans="1:15" hidden="1" outlineLevel="1" x14ac:dyDescent="0.25">
      <c r="A32" s="81" t="s">
        <v>9</v>
      </c>
      <c r="B32" s="40"/>
      <c r="C32" s="83"/>
      <c r="D32" s="40"/>
      <c r="J32" s="98"/>
      <c r="O32" s="48"/>
    </row>
    <row r="33" spans="1:15" hidden="1" outlineLevel="1" x14ac:dyDescent="0.25">
      <c r="A33" s="81" t="s">
        <v>111</v>
      </c>
      <c r="B33" s="40"/>
      <c r="C33" s="83"/>
      <c r="D33" s="40"/>
      <c r="J33" s="98"/>
      <c r="O33" s="48"/>
    </row>
    <row r="34" spans="1:15" hidden="1" outlineLevel="1" x14ac:dyDescent="0.25">
      <c r="A34" s="81" t="s">
        <v>45</v>
      </c>
      <c r="B34" s="40"/>
      <c r="C34" s="83"/>
      <c r="D34" s="40"/>
      <c r="J34" s="98"/>
      <c r="O34" s="48"/>
    </row>
    <row r="35" spans="1:15" hidden="1" outlineLevel="1" x14ac:dyDescent="0.25">
      <c r="A35" s="81" t="s">
        <v>52</v>
      </c>
      <c r="B35" s="40"/>
      <c r="C35" s="83">
        <f>-E150</f>
        <v>0</v>
      </c>
      <c r="D35" s="40"/>
      <c r="J35" s="98"/>
      <c r="O35" s="48"/>
    </row>
    <row r="36" spans="1:15" hidden="1" outlineLevel="1" x14ac:dyDescent="0.25">
      <c r="A36" s="81" t="s">
        <v>183</v>
      </c>
      <c r="B36" s="40"/>
      <c r="C36" s="83">
        <f>-E176</f>
        <v>0</v>
      </c>
      <c r="D36" s="40"/>
      <c r="J36" s="98"/>
      <c r="O36" s="48"/>
    </row>
    <row r="37" spans="1:15" hidden="1" outlineLevel="1" x14ac:dyDescent="0.25">
      <c r="A37" s="81" t="s">
        <v>56</v>
      </c>
      <c r="B37" s="40"/>
      <c r="C37" s="83"/>
      <c r="D37" s="40"/>
      <c r="J37" s="98"/>
      <c r="O37" s="48"/>
    </row>
    <row r="38" spans="1:15" hidden="1" outlineLevel="1" x14ac:dyDescent="0.25">
      <c r="A38" s="81" t="s">
        <v>12</v>
      </c>
      <c r="B38" s="40"/>
      <c r="C38" s="83" t="e">
        <f>-(C151+#REF!)</f>
        <v>#REF!</v>
      </c>
      <c r="D38" s="40"/>
      <c r="J38" s="98"/>
      <c r="O38" s="48"/>
    </row>
    <row r="39" spans="1:15" hidden="1" outlineLevel="1" x14ac:dyDescent="0.25">
      <c r="A39" s="81" t="s">
        <v>68</v>
      </c>
      <c r="B39" s="40"/>
      <c r="C39" s="83">
        <f>-SUM(B155:E155)</f>
        <v>-25.845379999999999</v>
      </c>
      <c r="D39" s="40"/>
      <c r="J39" s="98"/>
      <c r="O39" s="48"/>
    </row>
    <row r="40" spans="1:15" hidden="1" outlineLevel="1" x14ac:dyDescent="0.25">
      <c r="A40" s="81" t="s">
        <v>42</v>
      </c>
      <c r="B40" s="40"/>
      <c r="C40" s="83">
        <f>-SUM(B164:E164)</f>
        <v>0</v>
      </c>
      <c r="D40" s="40"/>
      <c r="J40" s="98"/>
      <c r="O40" s="48"/>
    </row>
    <row r="41" spans="1:15" hidden="1" outlineLevel="1" x14ac:dyDescent="0.25">
      <c r="A41" s="81" t="s">
        <v>76</v>
      </c>
      <c r="B41" s="40"/>
      <c r="C41" s="83">
        <f>-SUM(E165:E165)</f>
        <v>0</v>
      </c>
      <c r="D41" s="40"/>
      <c r="J41" s="98"/>
      <c r="O41" s="48"/>
    </row>
    <row r="42" spans="1:15" hidden="1" outlineLevel="1" x14ac:dyDescent="0.25">
      <c r="A42" s="81" t="s">
        <v>30</v>
      </c>
      <c r="B42" s="40"/>
      <c r="C42" s="83">
        <f>-SUM(E166:E166)</f>
        <v>0</v>
      </c>
      <c r="D42" s="40"/>
      <c r="J42" s="98"/>
      <c r="O42" s="48"/>
    </row>
    <row r="43" spans="1:15" hidden="1" outlineLevel="1" x14ac:dyDescent="0.25">
      <c r="A43" s="81" t="s">
        <v>15</v>
      </c>
      <c r="B43" s="40"/>
      <c r="C43" s="83">
        <f>-SUM(B167:E167)</f>
        <v>-16.910609999999998</v>
      </c>
      <c r="D43" s="40"/>
      <c r="J43" s="98"/>
      <c r="O43" s="48"/>
    </row>
    <row r="44" spans="1:15" hidden="1" outlineLevel="1" x14ac:dyDescent="0.25">
      <c r="A44" s="81" t="s">
        <v>165</v>
      </c>
      <c r="B44" s="40"/>
      <c r="C44" s="83" t="e">
        <f>-#REF!</f>
        <v>#REF!</v>
      </c>
      <c r="D44" s="40"/>
      <c r="J44" s="98"/>
      <c r="O44" s="48"/>
    </row>
    <row r="45" spans="1:15" hidden="1" outlineLevel="1" x14ac:dyDescent="0.25">
      <c r="A45" s="81" t="s">
        <v>168</v>
      </c>
      <c r="B45" s="40"/>
      <c r="C45" s="83"/>
      <c r="D45" s="40"/>
      <c r="J45" s="98"/>
      <c r="O45" s="48"/>
    </row>
    <row r="46" spans="1:15" hidden="1" outlineLevel="1" x14ac:dyDescent="0.25">
      <c r="A46" s="81" t="s">
        <v>24</v>
      </c>
      <c r="B46" s="40"/>
      <c r="C46" s="83">
        <f>-SUM(C154:E154)</f>
        <v>0</v>
      </c>
      <c r="D46" s="40"/>
      <c r="J46" s="98"/>
      <c r="O46" s="48"/>
    </row>
    <row r="47" spans="1:15" hidden="1" outlineLevel="1" x14ac:dyDescent="0.25">
      <c r="A47" s="81" t="s">
        <v>25</v>
      </c>
      <c r="B47" s="40"/>
      <c r="C47" s="40">
        <f>-SUM(C203:E203)</f>
        <v>0</v>
      </c>
      <c r="D47" s="40"/>
      <c r="J47" s="49"/>
      <c r="O47" s="48"/>
    </row>
    <row r="48" spans="1:15" hidden="1" outlineLevel="1" x14ac:dyDescent="0.25">
      <c r="A48" s="81" t="s">
        <v>23</v>
      </c>
      <c r="B48" s="40"/>
      <c r="C48" s="83">
        <f>-SUM(D172:E172)</f>
        <v>0</v>
      </c>
      <c r="D48" s="40"/>
      <c r="J48" s="98"/>
      <c r="O48" s="48"/>
    </row>
    <row r="49" spans="1:15" hidden="1" outlineLevel="1" x14ac:dyDescent="0.25">
      <c r="A49" s="81" t="s">
        <v>35</v>
      </c>
      <c r="B49" s="40"/>
      <c r="C49" s="83"/>
      <c r="D49" s="40"/>
      <c r="J49" s="98"/>
      <c r="O49" s="48"/>
    </row>
    <row r="50" spans="1:15" hidden="1" outlineLevel="1" x14ac:dyDescent="0.25">
      <c r="A50" s="81" t="s">
        <v>40</v>
      </c>
      <c r="B50" s="40"/>
      <c r="C50" s="83"/>
      <c r="D50" s="40"/>
      <c r="J50" s="98"/>
      <c r="O50" s="48"/>
    </row>
    <row r="51" spans="1:15" hidden="1" outlineLevel="1" x14ac:dyDescent="0.25">
      <c r="A51" s="81" t="s">
        <v>91</v>
      </c>
      <c r="B51" s="40"/>
      <c r="C51" s="83"/>
      <c r="D51" s="40"/>
      <c r="J51" s="98"/>
      <c r="O51" s="48"/>
    </row>
    <row r="52" spans="1:15" hidden="1" outlineLevel="1" x14ac:dyDescent="0.25">
      <c r="A52" s="81" t="s">
        <v>100</v>
      </c>
      <c r="B52" s="40"/>
      <c r="C52" s="83"/>
      <c r="D52" s="40"/>
      <c r="J52" s="98"/>
      <c r="O52" s="48"/>
    </row>
    <row r="53" spans="1:15" hidden="1" outlineLevel="1" x14ac:dyDescent="0.25">
      <c r="A53" s="81" t="s">
        <v>13</v>
      </c>
      <c r="B53" s="40"/>
      <c r="C53" s="83">
        <f>-SUM(B189:E189)</f>
        <v>0</v>
      </c>
      <c r="D53" s="40"/>
      <c r="J53" s="98"/>
      <c r="O53" s="48"/>
    </row>
    <row r="54" spans="1:15" hidden="1" outlineLevel="1" x14ac:dyDescent="0.25">
      <c r="A54" s="81" t="s">
        <v>41</v>
      </c>
      <c r="B54" s="40"/>
      <c r="C54" s="83">
        <f>-SUM(B169:E169)</f>
        <v>-0.34773999999999999</v>
      </c>
      <c r="D54" s="40"/>
      <c r="J54" s="98"/>
      <c r="O54" s="48"/>
    </row>
    <row r="55" spans="1:15" hidden="1" outlineLevel="1" x14ac:dyDescent="0.25">
      <c r="A55" s="81" t="s">
        <v>36</v>
      </c>
      <c r="B55" s="40"/>
      <c r="C55" s="83">
        <f>-SUM(B170:E170)</f>
        <v>-1.09951</v>
      </c>
      <c r="D55" s="40"/>
      <c r="J55" s="98"/>
      <c r="O55" s="48"/>
    </row>
    <row r="56" spans="1:15" hidden="1" outlineLevel="1" x14ac:dyDescent="0.25">
      <c r="A56" s="81" t="s">
        <v>62</v>
      </c>
      <c r="B56" s="40"/>
      <c r="C56" s="83"/>
      <c r="D56" s="40"/>
      <c r="J56" s="98"/>
      <c r="O56" s="48"/>
    </row>
    <row r="57" spans="1:15" hidden="1" outlineLevel="1" x14ac:dyDescent="0.25">
      <c r="A57" s="81" t="s">
        <v>54</v>
      </c>
      <c r="B57" s="40"/>
      <c r="C57" s="83">
        <f>-SUM(C171:E171)</f>
        <v>-2.8333900000000001</v>
      </c>
      <c r="D57" s="40"/>
      <c r="J57" s="98"/>
      <c r="O57" s="48"/>
    </row>
    <row r="58" spans="1:15" hidden="1" outlineLevel="1" x14ac:dyDescent="0.25">
      <c r="A58" s="81" t="s">
        <v>166</v>
      </c>
      <c r="B58" s="40"/>
      <c r="C58" s="83"/>
      <c r="D58" s="40"/>
      <c r="J58" s="98"/>
      <c r="O58" s="48"/>
    </row>
    <row r="59" spans="1:15" hidden="1" outlineLevel="1" x14ac:dyDescent="0.25">
      <c r="A59" s="81" t="s">
        <v>48</v>
      </c>
      <c r="B59" s="40"/>
      <c r="C59" s="83"/>
      <c r="D59" s="40"/>
      <c r="J59" s="98"/>
      <c r="O59" s="48"/>
    </row>
    <row r="60" spans="1:15" hidden="1" outlineLevel="1" x14ac:dyDescent="0.25">
      <c r="A60" s="81" t="s">
        <v>73</v>
      </c>
      <c r="B60" s="40"/>
      <c r="C60" s="83">
        <f>-SUM(C149:E149)</f>
        <v>0</v>
      </c>
      <c r="D60" s="40"/>
      <c r="J60" s="98"/>
      <c r="O60" s="48"/>
    </row>
    <row r="61" spans="1:15" hidden="1" outlineLevel="1" x14ac:dyDescent="0.25">
      <c r="A61" s="81" t="s">
        <v>66</v>
      </c>
      <c r="B61" s="40"/>
      <c r="C61" s="83">
        <f>-SUM(C175:E175)</f>
        <v>0</v>
      </c>
      <c r="D61" s="40"/>
      <c r="J61" s="98"/>
      <c r="O61" s="48"/>
    </row>
    <row r="62" spans="1:15" hidden="1" outlineLevel="1" x14ac:dyDescent="0.25">
      <c r="A62" s="81" t="s">
        <v>80</v>
      </c>
      <c r="B62" s="40"/>
      <c r="C62" s="83">
        <f>-SUM(B200:E200)</f>
        <v>0</v>
      </c>
      <c r="D62" s="40"/>
      <c r="J62" s="98"/>
      <c r="O62" s="48"/>
    </row>
    <row r="63" spans="1:15" hidden="1" outlineLevel="1" x14ac:dyDescent="0.25">
      <c r="A63" s="81" t="s">
        <v>171</v>
      </c>
      <c r="B63" s="40"/>
      <c r="C63" s="83"/>
      <c r="D63" s="40"/>
      <c r="J63" s="98"/>
      <c r="O63" s="48"/>
    </row>
    <row r="64" spans="1:15" hidden="1" outlineLevel="1" x14ac:dyDescent="0.25">
      <c r="A64" s="81" t="s">
        <v>28</v>
      </c>
      <c r="B64" s="40"/>
      <c r="C64" s="83"/>
      <c r="D64" s="40"/>
      <c r="J64" s="98"/>
      <c r="O64" s="48"/>
    </row>
    <row r="65" spans="1:15" hidden="1" outlineLevel="1" x14ac:dyDescent="0.25">
      <c r="A65" s="81" t="s">
        <v>210</v>
      </c>
      <c r="B65" s="40"/>
      <c r="C65" s="83">
        <f>-SUM(C197:E197)</f>
        <v>0</v>
      </c>
      <c r="D65" s="40"/>
      <c r="J65" s="98"/>
      <c r="O65" s="48"/>
    </row>
    <row r="66" spans="1:15" hidden="1" outlineLevel="1" x14ac:dyDescent="0.25">
      <c r="A66" s="81" t="s">
        <v>188</v>
      </c>
      <c r="B66" s="40"/>
      <c r="C66" s="83"/>
      <c r="D66" s="40"/>
      <c r="J66" s="98"/>
      <c r="O66" s="48"/>
    </row>
    <row r="67" spans="1:15" hidden="1" outlineLevel="1" x14ac:dyDescent="0.25">
      <c r="A67" s="81" t="s">
        <v>208</v>
      </c>
      <c r="B67" s="40"/>
      <c r="C67" s="83">
        <f>-SUM(B191:E191)</f>
        <v>0</v>
      </c>
      <c r="D67" s="40"/>
      <c r="J67" s="98"/>
      <c r="O67" s="48"/>
    </row>
    <row r="68" spans="1:15" hidden="1" outlineLevel="1" x14ac:dyDescent="0.25">
      <c r="A68" s="81" t="s">
        <v>211</v>
      </c>
      <c r="B68" s="40"/>
      <c r="C68" s="83">
        <f>-SUM(D186:E186)</f>
        <v>0</v>
      </c>
      <c r="D68" s="40"/>
      <c r="J68" s="98"/>
      <c r="O68" s="48"/>
    </row>
    <row r="69" spans="1:15" hidden="1" outlineLevel="1" x14ac:dyDescent="0.25">
      <c r="A69" s="81" t="s">
        <v>182</v>
      </c>
      <c r="B69" s="40"/>
      <c r="C69" s="83"/>
      <c r="D69" s="40"/>
      <c r="J69" s="98"/>
      <c r="O69" s="48"/>
    </row>
    <row r="70" spans="1:15" hidden="1" outlineLevel="1" x14ac:dyDescent="0.25">
      <c r="A70" s="104" t="s">
        <v>195</v>
      </c>
      <c r="B70" s="105"/>
      <c r="C70" s="105">
        <f>-SUM(C162:E162)</f>
        <v>0</v>
      </c>
      <c r="D70" s="40"/>
      <c r="J70" s="98"/>
      <c r="O70" s="48"/>
    </row>
    <row r="71" spans="1:15" hidden="1" outlineLevel="1" x14ac:dyDescent="0.25">
      <c r="A71" s="84" t="s">
        <v>150</v>
      </c>
      <c r="B71" s="41"/>
      <c r="C71" s="62">
        <f>-SUM(C159:E159)</f>
        <v>0</v>
      </c>
      <c r="D71" s="41"/>
      <c r="J71" s="98"/>
      <c r="O71" s="48"/>
    </row>
    <row r="72" spans="1:15" hidden="1" x14ac:dyDescent="0.25">
      <c r="A72" s="34"/>
      <c r="B72" s="40"/>
      <c r="C72" s="40"/>
      <c r="D72" s="40"/>
      <c r="J72" s="98"/>
      <c r="O72" s="48"/>
    </row>
    <row r="73" spans="1:15" hidden="1" x14ac:dyDescent="0.25">
      <c r="A73" s="35" t="s">
        <v>134</v>
      </c>
      <c r="B73" s="42">
        <f>B9+B14+B19+B20+B26+B30</f>
        <v>-455.94113633517702</v>
      </c>
      <c r="C73" s="42" t="e">
        <f>C9+C14+C19+C20+C26+C30</f>
        <v>#REF!</v>
      </c>
      <c r="D73" s="42" t="e">
        <f>D9+D14+D19+D20+D26+D30</f>
        <v>#REF!</v>
      </c>
      <c r="H73" s="95"/>
      <c r="I73" s="95"/>
      <c r="J73" s="98"/>
      <c r="O73" s="48"/>
    </row>
    <row r="74" spans="1:15" s="1" customFormat="1" hidden="1" x14ac:dyDescent="0.25">
      <c r="A74" s="34"/>
      <c r="B74" s="40"/>
      <c r="C74" s="40"/>
      <c r="D74" s="40"/>
      <c r="J74" s="98"/>
      <c r="O74" s="49"/>
    </row>
    <row r="75" spans="1:15" s="1" customFormat="1" hidden="1" x14ac:dyDescent="0.25">
      <c r="A75" s="31" t="s">
        <v>125</v>
      </c>
      <c r="B75" s="43">
        <f>-59.33*B4</f>
        <v>-249.18600000000001</v>
      </c>
      <c r="C75" s="43">
        <f>SUM(C76:C79)</f>
        <v>0</v>
      </c>
      <c r="D75" s="43">
        <f>C75-B75</f>
        <v>249.18600000000001</v>
      </c>
      <c r="H75" s="93"/>
      <c r="I75" s="93"/>
      <c r="J75" s="98"/>
      <c r="O75" s="49"/>
    </row>
    <row r="76" spans="1:15" s="1" customFormat="1" hidden="1" outlineLevel="1" x14ac:dyDescent="0.25">
      <c r="A76" s="81" t="s">
        <v>53</v>
      </c>
      <c r="B76" s="40"/>
      <c r="C76" s="40"/>
      <c r="D76" s="40"/>
      <c r="J76" s="98"/>
      <c r="O76" s="49"/>
    </row>
    <row r="77" spans="1:15" s="1" customFormat="1" hidden="1" outlineLevel="1" x14ac:dyDescent="0.25">
      <c r="A77" s="81" t="s">
        <v>148</v>
      </c>
      <c r="B77" s="40"/>
      <c r="C77" s="40"/>
      <c r="D77" s="40"/>
      <c r="J77" s="98"/>
      <c r="O77" s="49"/>
    </row>
    <row r="78" spans="1:15" s="1" customFormat="1" hidden="1" outlineLevel="1" x14ac:dyDescent="0.25">
      <c r="A78" s="81" t="s">
        <v>209</v>
      </c>
      <c r="B78" s="40"/>
      <c r="C78" s="40">
        <f>-SUM(B190:E190)</f>
        <v>0</v>
      </c>
      <c r="D78" s="40"/>
      <c r="J78" s="98"/>
      <c r="O78" s="49"/>
    </row>
    <row r="79" spans="1:15" s="1" customFormat="1" hidden="1" outlineLevel="1" x14ac:dyDescent="0.25">
      <c r="A79" s="81" t="s">
        <v>151</v>
      </c>
      <c r="B79" s="40"/>
      <c r="C79" s="40"/>
      <c r="D79" s="40"/>
      <c r="J79" s="98"/>
      <c r="O79" s="49"/>
    </row>
    <row r="80" spans="1:15" hidden="1" x14ac:dyDescent="0.25">
      <c r="A80" s="33" t="s">
        <v>126</v>
      </c>
      <c r="B80" s="40">
        <f>8.0231620925531*B4</f>
        <v>33.69728078872302</v>
      </c>
      <c r="C80" s="40">
        <f>SUM(C81:C86)</f>
        <v>198.767</v>
      </c>
      <c r="D80" s="40">
        <f>C80-B80</f>
        <v>165.06971921127698</v>
      </c>
      <c r="H80" s="95"/>
      <c r="I80" s="95"/>
      <c r="J80" s="98"/>
      <c r="O80" s="48"/>
    </row>
    <row r="81" spans="1:15" hidden="1" outlineLevel="1" x14ac:dyDescent="0.25">
      <c r="A81" s="81" t="s">
        <v>152</v>
      </c>
      <c r="B81" s="40"/>
      <c r="C81" s="40">
        <f>-E145</f>
        <v>-16</v>
      </c>
      <c r="D81" s="40"/>
      <c r="J81" s="98"/>
      <c r="O81" s="48"/>
    </row>
    <row r="82" spans="1:15" hidden="1" outlineLevel="1" x14ac:dyDescent="0.25">
      <c r="A82" s="81" t="s">
        <v>10</v>
      </c>
      <c r="B82" s="40"/>
      <c r="C82" s="40">
        <f>-SUM(B148:E148)</f>
        <v>0</v>
      </c>
      <c r="D82" s="40"/>
      <c r="J82" s="98"/>
      <c r="O82" s="48"/>
    </row>
    <row r="83" spans="1:15" hidden="1" outlineLevel="1" x14ac:dyDescent="0.25">
      <c r="A83" s="81" t="s">
        <v>43</v>
      </c>
      <c r="B83" s="40"/>
      <c r="C83" s="40">
        <f>-B201</f>
        <v>0</v>
      </c>
      <c r="D83" s="40"/>
      <c r="J83" s="98"/>
      <c r="O83" s="48"/>
    </row>
    <row r="84" spans="1:15" hidden="1" outlineLevel="1" x14ac:dyDescent="0.25">
      <c r="A84" s="81" t="s">
        <v>194</v>
      </c>
      <c r="B84" s="40"/>
      <c r="C84" s="40">
        <f>B138-B196</f>
        <v>272.21199999999999</v>
      </c>
      <c r="D84" s="40"/>
      <c r="J84" s="98"/>
      <c r="O84" s="48"/>
    </row>
    <row r="85" spans="1:15" hidden="1" outlineLevel="1" x14ac:dyDescent="0.25">
      <c r="A85" s="81" t="s">
        <v>212</v>
      </c>
      <c r="B85" s="40"/>
      <c r="C85" s="40">
        <f>SUM(B136:E136)</f>
        <v>0</v>
      </c>
      <c r="D85" s="40"/>
      <c r="J85" s="98"/>
      <c r="O85" s="48"/>
    </row>
    <row r="86" spans="1:15" hidden="1" outlineLevel="1" x14ac:dyDescent="0.25">
      <c r="A86" s="81" t="s">
        <v>109</v>
      </c>
      <c r="B86" s="40"/>
      <c r="C86" s="40">
        <f>-SUM(C147:E147)</f>
        <v>-57.445</v>
      </c>
      <c r="D86" s="40"/>
      <c r="J86" s="98"/>
      <c r="O86" s="48"/>
    </row>
    <row r="87" spans="1:15" hidden="1" x14ac:dyDescent="0.25">
      <c r="A87" s="33" t="s">
        <v>127</v>
      </c>
      <c r="B87" s="40">
        <f>-1.11999972306073*B4</f>
        <v>-4.7039988368550656</v>
      </c>
      <c r="C87" s="40"/>
      <c r="D87" s="40">
        <f t="shared" ref="D87:D88" si="0">C87-B87</f>
        <v>4.7039988368550656</v>
      </c>
      <c r="H87" s="95"/>
      <c r="I87" s="95"/>
      <c r="J87" s="98"/>
      <c r="O87" s="48"/>
    </row>
    <row r="88" spans="1:15" hidden="1" x14ac:dyDescent="0.25">
      <c r="A88" s="33" t="s">
        <v>128</v>
      </c>
      <c r="B88" s="40">
        <v>0</v>
      </c>
      <c r="C88" s="40"/>
      <c r="D88" s="40">
        <f t="shared" si="0"/>
        <v>0</v>
      </c>
      <c r="H88" s="95"/>
      <c r="I88" s="95"/>
      <c r="J88" s="98"/>
      <c r="O88" s="48"/>
    </row>
    <row r="89" spans="1:15" hidden="1" x14ac:dyDescent="0.25">
      <c r="A89" s="33" t="s">
        <v>129</v>
      </c>
      <c r="B89" s="40">
        <f>8.31321479356027*B4</f>
        <v>34.915502132953137</v>
      </c>
      <c r="C89" s="40">
        <f>SUM(C90:C91)</f>
        <v>60</v>
      </c>
      <c r="D89" s="40">
        <f>C89-B89</f>
        <v>25.084497867046863</v>
      </c>
      <c r="H89" s="95"/>
      <c r="I89" s="95"/>
      <c r="J89" s="49"/>
      <c r="O89" s="48"/>
    </row>
    <row r="90" spans="1:15" hidden="1" outlineLevel="1" x14ac:dyDescent="0.25">
      <c r="A90" s="81" t="s">
        <v>59</v>
      </c>
      <c r="B90" s="40"/>
      <c r="C90" s="40">
        <f>SUM(B131:E131)</f>
        <v>60</v>
      </c>
      <c r="D90" s="40"/>
      <c r="J90" s="49"/>
      <c r="O90" s="48"/>
    </row>
    <row r="91" spans="1:15" hidden="1" outlineLevel="1" x14ac:dyDescent="0.25">
      <c r="A91" s="84" t="s">
        <v>145</v>
      </c>
      <c r="B91" s="41"/>
      <c r="C91" s="41">
        <f>-SUM(B152:E152)</f>
        <v>0</v>
      </c>
      <c r="D91" s="41"/>
      <c r="J91" s="49"/>
      <c r="O91" s="48"/>
    </row>
    <row r="92" spans="1:15" hidden="1" x14ac:dyDescent="0.25">
      <c r="A92" s="34"/>
      <c r="B92" s="40"/>
      <c r="C92" s="40"/>
      <c r="D92" s="40"/>
      <c r="J92" s="49"/>
      <c r="O92" s="48"/>
    </row>
    <row r="93" spans="1:15" hidden="1" x14ac:dyDescent="0.25">
      <c r="A93" s="35" t="s">
        <v>135</v>
      </c>
      <c r="B93" s="42">
        <f>B75+B80+B87+B88+B89</f>
        <v>-185.27721591517894</v>
      </c>
      <c r="C93" s="42">
        <f>C75+C80+C89+C88+C87</f>
        <v>258.767</v>
      </c>
      <c r="D93" s="42">
        <f>D75+D80+D87+D88+D89</f>
        <v>444.04421591517894</v>
      </c>
      <c r="H93" s="95"/>
      <c r="I93" s="95"/>
      <c r="J93" s="49"/>
      <c r="O93" s="48"/>
    </row>
    <row r="94" spans="1:15" hidden="1" x14ac:dyDescent="0.25">
      <c r="A94" s="36"/>
      <c r="B94" s="44"/>
      <c r="C94" s="44"/>
      <c r="D94" s="44"/>
      <c r="J94" s="49"/>
      <c r="O94" s="48"/>
    </row>
    <row r="95" spans="1:15" hidden="1" x14ac:dyDescent="0.25">
      <c r="A95" s="37" t="s">
        <v>136</v>
      </c>
      <c r="B95" s="45">
        <f>B93+B73</f>
        <v>-641.21835225035602</v>
      </c>
      <c r="C95" s="45" t="e">
        <f>C93+C73</f>
        <v>#REF!</v>
      </c>
      <c r="D95" s="45" t="e">
        <f t="shared" ref="D95" si="1">D93+D73</f>
        <v>#REF!</v>
      </c>
      <c r="H95" s="95"/>
      <c r="I95" s="95"/>
      <c r="J95" s="49"/>
      <c r="O95" s="48"/>
    </row>
    <row r="96" spans="1:15" hidden="1" x14ac:dyDescent="0.25">
      <c r="A96" s="34"/>
      <c r="B96" s="44"/>
      <c r="C96" s="44"/>
      <c r="D96" s="44"/>
      <c r="J96" s="49"/>
      <c r="O96" s="48"/>
    </row>
    <row r="97" spans="1:15" hidden="1" x14ac:dyDescent="0.25">
      <c r="A97" s="31" t="s">
        <v>130</v>
      </c>
      <c r="B97" s="43">
        <v>0</v>
      </c>
      <c r="C97" s="43"/>
      <c r="D97" s="43"/>
      <c r="J97" s="49"/>
      <c r="O97" s="48"/>
    </row>
    <row r="98" spans="1:15" hidden="1" x14ac:dyDescent="0.25">
      <c r="A98" s="33" t="s">
        <v>131</v>
      </c>
      <c r="B98" s="40">
        <v>0</v>
      </c>
      <c r="C98" s="40"/>
      <c r="D98" s="40"/>
      <c r="J98" s="49"/>
      <c r="O98" s="48"/>
    </row>
    <row r="99" spans="1:15" hidden="1" x14ac:dyDescent="0.25">
      <c r="A99" s="33" t="s">
        <v>132</v>
      </c>
      <c r="B99" s="40">
        <v>0</v>
      </c>
      <c r="C99" s="40"/>
      <c r="D99" s="40"/>
      <c r="J99" s="49"/>
      <c r="O99" s="48"/>
    </row>
    <row r="100" spans="1:15" hidden="1" x14ac:dyDescent="0.25">
      <c r="A100" s="33" t="s">
        <v>133</v>
      </c>
      <c r="B100" s="40">
        <f>-42.75*B4</f>
        <v>-179.55</v>
      </c>
      <c r="C100" s="40">
        <f>SUM(C101:C109)</f>
        <v>-3</v>
      </c>
      <c r="D100" s="40">
        <f>C100-B100</f>
        <v>176.55</v>
      </c>
      <c r="H100" s="95"/>
      <c r="I100" s="95"/>
      <c r="J100" s="49"/>
      <c r="O100" s="48"/>
    </row>
    <row r="101" spans="1:15" hidden="1" outlineLevel="1" x14ac:dyDescent="0.25">
      <c r="A101" s="81" t="s">
        <v>80</v>
      </c>
      <c r="B101" s="40"/>
      <c r="C101" s="40"/>
      <c r="D101" s="40"/>
      <c r="J101" s="49"/>
      <c r="O101" s="48"/>
    </row>
    <row r="102" spans="1:15" hidden="1" outlineLevel="1" x14ac:dyDescent="0.25">
      <c r="A102" s="81" t="s">
        <v>9</v>
      </c>
      <c r="B102" s="40"/>
      <c r="C102" s="40"/>
      <c r="D102" s="40"/>
      <c r="J102" s="49"/>
      <c r="O102" s="48"/>
    </row>
    <row r="103" spans="1:15" hidden="1" outlineLevel="1" x14ac:dyDescent="0.25">
      <c r="A103" s="81" t="s">
        <v>73</v>
      </c>
      <c r="B103" s="40"/>
      <c r="C103" s="40"/>
      <c r="D103" s="40"/>
      <c r="J103" s="49"/>
      <c r="O103" s="48"/>
    </row>
    <row r="104" spans="1:15" hidden="1" outlineLevel="1" x14ac:dyDescent="0.25">
      <c r="A104" s="81" t="s">
        <v>62</v>
      </c>
      <c r="B104" s="40"/>
      <c r="C104" s="40"/>
      <c r="D104" s="40"/>
      <c r="J104" s="49"/>
      <c r="O104" s="48"/>
    </row>
    <row r="105" spans="1:15" hidden="1" outlineLevel="1" x14ac:dyDescent="0.25">
      <c r="A105" s="81" t="s">
        <v>24</v>
      </c>
      <c r="B105" s="40"/>
      <c r="C105" s="40"/>
      <c r="D105" s="40"/>
      <c r="J105" s="49"/>
      <c r="O105" s="48"/>
    </row>
    <row r="106" spans="1:15" hidden="1" outlineLevel="1" x14ac:dyDescent="0.25">
      <c r="A106" s="81" t="s">
        <v>68</v>
      </c>
      <c r="B106" s="40"/>
      <c r="C106" s="40"/>
      <c r="D106" s="40"/>
      <c r="J106" s="49"/>
      <c r="O106" s="48"/>
    </row>
    <row r="107" spans="1:15" hidden="1" outlineLevel="1" x14ac:dyDescent="0.25">
      <c r="A107" s="81" t="s">
        <v>25</v>
      </c>
      <c r="B107" s="40"/>
      <c r="C107" s="40"/>
      <c r="D107" s="40"/>
      <c r="J107" s="49"/>
      <c r="O107" s="48"/>
    </row>
    <row r="108" spans="1:15" hidden="1" outlineLevel="1" x14ac:dyDescent="0.25">
      <c r="A108" s="81" t="s">
        <v>94</v>
      </c>
      <c r="B108" s="40"/>
      <c r="C108" s="40"/>
      <c r="D108" s="40"/>
      <c r="J108" s="49"/>
      <c r="O108" s="48"/>
    </row>
    <row r="109" spans="1:15" hidden="1" outlineLevel="1" x14ac:dyDescent="0.25">
      <c r="A109" s="84" t="s">
        <v>164</v>
      </c>
      <c r="B109" s="41"/>
      <c r="C109" s="41">
        <f>-SUM(D168:E168)</f>
        <v>-3</v>
      </c>
      <c r="D109" s="41"/>
      <c r="J109" s="49"/>
      <c r="O109" s="48"/>
    </row>
    <row r="110" spans="1:15" hidden="1" x14ac:dyDescent="0.25">
      <c r="A110" s="34"/>
      <c r="B110" s="44"/>
      <c r="C110" s="44"/>
      <c r="D110" s="44"/>
      <c r="J110" s="49"/>
      <c r="O110" s="48"/>
    </row>
    <row r="111" spans="1:15" hidden="1" x14ac:dyDescent="0.25">
      <c r="A111" s="35" t="s">
        <v>137</v>
      </c>
      <c r="B111" s="42">
        <f>SUM(B97:B100)</f>
        <v>-179.55</v>
      </c>
      <c r="C111" s="42">
        <f>SUM(C97:C100)</f>
        <v>-3</v>
      </c>
      <c r="D111" s="42">
        <f>SUM(D97:D100)</f>
        <v>176.55</v>
      </c>
      <c r="H111" s="95"/>
      <c r="I111" s="95"/>
      <c r="J111" s="49"/>
      <c r="O111" s="48"/>
    </row>
    <row r="112" spans="1:15" hidden="1" x14ac:dyDescent="0.25">
      <c r="A112" s="34"/>
      <c r="B112" s="44"/>
      <c r="C112" s="44"/>
      <c r="D112" s="44"/>
      <c r="J112" s="49"/>
      <c r="O112" s="48"/>
    </row>
    <row r="113" spans="1:15" hidden="1" x14ac:dyDescent="0.25">
      <c r="A113" s="37" t="s">
        <v>138</v>
      </c>
      <c r="B113" s="45">
        <f>B111+B95</f>
        <v>-820.76835225035597</v>
      </c>
      <c r="C113" s="45" t="e">
        <f>C111+C95</f>
        <v>#REF!</v>
      </c>
      <c r="D113" s="45" t="e">
        <f>D111+D95</f>
        <v>#REF!</v>
      </c>
      <c r="H113" s="95"/>
      <c r="I113" s="95"/>
      <c r="J113" s="49"/>
      <c r="O113" s="48"/>
    </row>
    <row r="114" spans="1:15" hidden="1" x14ac:dyDescent="0.25">
      <c r="C114" s="92"/>
      <c r="J114" s="49"/>
      <c r="K114" s="48"/>
      <c r="L114" s="48"/>
      <c r="M114" s="48"/>
      <c r="N114" s="48"/>
      <c r="O114" s="48"/>
    </row>
    <row r="115" spans="1:15" hidden="1" x14ac:dyDescent="0.25">
      <c r="C115" s="92"/>
      <c r="J115" s="49"/>
      <c r="K115" s="48"/>
      <c r="L115" s="48"/>
      <c r="M115" s="48"/>
      <c r="N115" s="48"/>
      <c r="O115" s="48"/>
    </row>
    <row r="116" spans="1:15" hidden="1" x14ac:dyDescent="0.25">
      <c r="C116" s="93"/>
      <c r="J116" s="49"/>
      <c r="K116" s="48"/>
      <c r="L116" s="48"/>
      <c r="M116" s="48"/>
      <c r="N116" s="48"/>
      <c r="O116" s="48"/>
    </row>
    <row r="117" spans="1:15" hidden="1" x14ac:dyDescent="0.25">
      <c r="J117" s="49"/>
      <c r="K117" s="48"/>
      <c r="L117" s="48"/>
      <c r="M117" s="48"/>
      <c r="N117" s="48"/>
      <c r="O117" s="48"/>
    </row>
    <row r="118" spans="1:15" hidden="1" x14ac:dyDescent="0.25">
      <c r="J118" s="49"/>
      <c r="K118" s="48"/>
      <c r="L118" s="48"/>
      <c r="M118" s="48"/>
      <c r="N118" s="48"/>
      <c r="O118" s="48"/>
    </row>
    <row r="119" spans="1:15" x14ac:dyDescent="0.25">
      <c r="A119" s="2" t="s">
        <v>6</v>
      </c>
      <c r="B119" s="13">
        <v>31</v>
      </c>
      <c r="C119" s="13">
        <v>32</v>
      </c>
      <c r="D119" s="13">
        <v>33</v>
      </c>
      <c r="E119" s="13">
        <v>34</v>
      </c>
      <c r="F119" s="13">
        <v>35</v>
      </c>
      <c r="I119" s="16">
        <v>2017</v>
      </c>
      <c r="J119" s="49"/>
      <c r="K119" s="48"/>
      <c r="L119" s="48"/>
      <c r="M119" s="48"/>
      <c r="N119" s="48"/>
      <c r="O119" s="48"/>
    </row>
    <row r="120" spans="1:15" x14ac:dyDescent="0.25">
      <c r="A120" s="2"/>
      <c r="B120" s="3" t="s">
        <v>349</v>
      </c>
      <c r="C120" s="3" t="s">
        <v>350</v>
      </c>
      <c r="D120" s="3" t="s">
        <v>351</v>
      </c>
      <c r="E120" s="3" t="s">
        <v>352</v>
      </c>
      <c r="F120" s="3" t="s">
        <v>353</v>
      </c>
      <c r="I120" s="17">
        <v>2016</v>
      </c>
      <c r="J120" s="49"/>
      <c r="K120" s="48"/>
      <c r="L120" s="48"/>
      <c r="M120" s="48"/>
      <c r="N120" s="48"/>
      <c r="O120" s="48"/>
    </row>
    <row r="121" spans="1:15" x14ac:dyDescent="0.25">
      <c r="A121" s="4" t="s">
        <v>0</v>
      </c>
      <c r="B121" s="5">
        <v>2284</v>
      </c>
      <c r="C121" s="5">
        <f>B259</f>
        <v>2661.9712400000003</v>
      </c>
      <c r="D121" s="5">
        <f>C259</f>
        <v>1777.8089500000003</v>
      </c>
      <c r="E121" s="5">
        <f>D259</f>
        <v>1715.1964100000002</v>
      </c>
      <c r="F121" s="5">
        <f>E259</f>
        <v>1442.0090600000003</v>
      </c>
      <c r="G121" s="1"/>
      <c r="H121" s="1"/>
      <c r="J121" s="49"/>
      <c r="K121" s="48"/>
      <c r="L121" s="48"/>
      <c r="M121" s="48"/>
      <c r="N121" s="48"/>
      <c r="O121" s="48"/>
    </row>
    <row r="122" spans="1:15" x14ac:dyDescent="0.25">
      <c r="A122" s="15" t="s">
        <v>1</v>
      </c>
      <c r="B122" s="4"/>
      <c r="C122" s="4"/>
      <c r="D122" s="4"/>
      <c r="E122" s="4"/>
      <c r="F122" s="4"/>
      <c r="G122" s="49"/>
      <c r="H122" s="49"/>
      <c r="I122" s="49"/>
      <c r="J122" s="49"/>
      <c r="K122" s="48"/>
      <c r="L122" s="48"/>
      <c r="M122" s="48"/>
      <c r="N122" s="48"/>
      <c r="O122" s="48"/>
    </row>
    <row r="123" spans="1:15" x14ac:dyDescent="0.25">
      <c r="A123" s="2" t="s">
        <v>2</v>
      </c>
      <c r="B123" s="6"/>
      <c r="C123" s="6"/>
      <c r="D123" s="6"/>
      <c r="E123" s="6"/>
      <c r="F123" s="6"/>
      <c r="G123" s="49"/>
      <c r="H123" s="49"/>
      <c r="I123" s="49"/>
      <c r="J123" s="49"/>
      <c r="K123" s="48"/>
      <c r="L123" s="48"/>
      <c r="M123" s="48"/>
      <c r="N123" s="48"/>
      <c r="O123" s="48"/>
    </row>
    <row r="124" spans="1:15" hidden="1" x14ac:dyDescent="0.25">
      <c r="A124" s="2" t="s">
        <v>39</v>
      </c>
      <c r="B124" s="2"/>
      <c r="C124" s="2"/>
      <c r="D124" s="2"/>
      <c r="E124" s="2"/>
      <c r="F124" s="2"/>
      <c r="G124" s="49"/>
      <c r="H124" s="49"/>
      <c r="I124" s="49"/>
      <c r="J124" s="49"/>
      <c r="K124" s="48"/>
      <c r="L124" s="48"/>
      <c r="M124" s="48"/>
      <c r="N124" s="48"/>
      <c r="O124" s="48"/>
    </row>
    <row r="125" spans="1:15" hidden="1" x14ac:dyDescent="0.25">
      <c r="A125" s="2" t="s">
        <v>3</v>
      </c>
      <c r="B125" s="2"/>
      <c r="C125" s="2"/>
      <c r="D125" s="2"/>
      <c r="E125" s="2"/>
      <c r="F125" s="2"/>
      <c r="G125" s="49"/>
      <c r="H125" s="49"/>
      <c r="I125" s="49"/>
      <c r="J125" s="49"/>
      <c r="K125" s="48"/>
      <c r="L125" s="48"/>
      <c r="M125" s="48"/>
      <c r="N125" s="48"/>
      <c r="O125" s="48"/>
    </row>
    <row r="126" spans="1:15" hidden="1" x14ac:dyDescent="0.25">
      <c r="A126" s="2" t="s">
        <v>4</v>
      </c>
      <c r="B126" s="2"/>
      <c r="C126" s="2"/>
      <c r="D126" s="2"/>
      <c r="E126" s="2"/>
      <c r="F126" s="2"/>
      <c r="G126" s="49"/>
      <c r="H126" s="49"/>
      <c r="I126" s="49"/>
      <c r="J126" s="49"/>
      <c r="K126" s="48"/>
      <c r="L126" s="48"/>
      <c r="M126" s="48"/>
      <c r="N126" s="48"/>
      <c r="O126" s="48"/>
    </row>
    <row r="127" spans="1:15" hidden="1" x14ac:dyDescent="0.25">
      <c r="A127" s="2" t="s">
        <v>32</v>
      </c>
      <c r="B127" s="2"/>
      <c r="C127" s="2"/>
      <c r="D127" s="2"/>
      <c r="E127" s="2"/>
      <c r="F127" s="2"/>
      <c r="G127" s="49"/>
      <c r="H127" s="49"/>
      <c r="I127" s="49"/>
      <c r="J127" s="49"/>
      <c r="K127" s="48"/>
      <c r="L127" s="48"/>
      <c r="M127" s="48"/>
      <c r="N127" s="48"/>
      <c r="O127" s="48"/>
    </row>
    <row r="128" spans="1:15" x14ac:dyDescent="0.25">
      <c r="A128" s="2" t="s">
        <v>74</v>
      </c>
      <c r="B128" s="2"/>
      <c r="C128" s="2"/>
      <c r="D128" s="2"/>
      <c r="E128" s="2"/>
      <c r="F128" s="2"/>
      <c r="G128" s="49"/>
      <c r="H128" s="49"/>
      <c r="I128" s="49"/>
      <c r="J128" s="49"/>
      <c r="K128" s="48"/>
      <c r="L128" s="48"/>
      <c r="M128" s="48"/>
      <c r="N128" s="48"/>
      <c r="O128" s="48"/>
    </row>
    <row r="129" spans="1:15" x14ac:dyDescent="0.25">
      <c r="A129" s="2" t="s">
        <v>217</v>
      </c>
      <c r="B129" s="2"/>
      <c r="C129" s="2"/>
      <c r="D129" s="2"/>
      <c r="E129" s="2"/>
      <c r="F129" s="2"/>
      <c r="G129" s="49"/>
      <c r="H129" s="49"/>
      <c r="I129" s="49"/>
      <c r="J129" s="49"/>
      <c r="K129" s="48"/>
      <c r="L129" s="48"/>
      <c r="M129" s="48"/>
      <c r="N129" s="48"/>
      <c r="O129" s="48"/>
    </row>
    <row r="130" spans="1:15" hidden="1" x14ac:dyDescent="0.25">
      <c r="A130" s="2" t="s">
        <v>99</v>
      </c>
      <c r="B130" s="2"/>
      <c r="C130" s="2"/>
      <c r="D130" s="2"/>
      <c r="E130" s="2"/>
      <c r="F130" s="2"/>
      <c r="G130" s="49"/>
      <c r="H130" s="49"/>
      <c r="I130" s="49"/>
      <c r="J130" s="49"/>
      <c r="K130" s="48"/>
      <c r="L130" s="48"/>
      <c r="M130" s="48"/>
      <c r="N130" s="48"/>
      <c r="O130" s="48"/>
    </row>
    <row r="131" spans="1:15" x14ac:dyDescent="0.25">
      <c r="A131" s="2" t="s">
        <v>59</v>
      </c>
      <c r="B131" s="2"/>
      <c r="C131" s="2"/>
      <c r="D131" s="2"/>
      <c r="E131" s="6">
        <v>60</v>
      </c>
      <c r="F131" s="6"/>
      <c r="G131" s="49"/>
      <c r="H131" s="49"/>
      <c r="I131" s="49"/>
    </row>
    <row r="132" spans="1:15" hidden="1" x14ac:dyDescent="0.25">
      <c r="A132" s="2" t="s">
        <v>33</v>
      </c>
      <c r="B132" s="2"/>
      <c r="C132" s="2"/>
      <c r="D132" s="2"/>
      <c r="E132" s="2"/>
      <c r="F132" s="2"/>
      <c r="G132" s="49"/>
      <c r="H132" s="49"/>
      <c r="I132" s="49"/>
    </row>
    <row r="133" spans="1:15" x14ac:dyDescent="0.25">
      <c r="A133" s="2" t="s">
        <v>214</v>
      </c>
      <c r="B133" s="6">
        <v>188.53399999999999</v>
      </c>
      <c r="C133" s="6">
        <v>51.869</v>
      </c>
      <c r="D133" s="6">
        <v>0</v>
      </c>
      <c r="E133" s="6">
        <v>188.78864999999999</v>
      </c>
      <c r="F133" s="6">
        <v>186.78800000000001</v>
      </c>
      <c r="G133" s="49"/>
      <c r="H133" s="49"/>
      <c r="I133" s="49"/>
    </row>
    <row r="134" spans="1:15" x14ac:dyDescent="0.25">
      <c r="A134" s="2" t="s">
        <v>96</v>
      </c>
      <c r="B134" s="2"/>
      <c r="C134" s="2"/>
      <c r="D134" s="2"/>
      <c r="E134" s="14">
        <v>23.8</v>
      </c>
      <c r="F134" s="2"/>
      <c r="G134" s="49"/>
      <c r="H134" s="49"/>
      <c r="I134" s="49"/>
    </row>
    <row r="135" spans="1:15" x14ac:dyDescent="0.25">
      <c r="A135" s="2" t="s">
        <v>358</v>
      </c>
      <c r="B135" s="2"/>
      <c r="C135" s="2"/>
      <c r="D135" s="2"/>
      <c r="E135" s="14">
        <v>50.881999999999998</v>
      </c>
      <c r="F135" s="2"/>
      <c r="G135" s="49"/>
      <c r="H135" s="49"/>
      <c r="I135" s="49"/>
    </row>
    <row r="136" spans="1:15" x14ac:dyDescent="0.25">
      <c r="A136" s="2" t="s">
        <v>97</v>
      </c>
      <c r="B136" s="2"/>
      <c r="C136" s="2"/>
      <c r="D136" s="2"/>
      <c r="E136" s="2"/>
      <c r="F136" s="2"/>
      <c r="G136" s="49"/>
      <c r="H136" s="49"/>
      <c r="I136" s="49"/>
      <c r="J136" s="49"/>
      <c r="K136" s="48"/>
      <c r="L136" s="48"/>
      <c r="M136" s="48"/>
      <c r="N136" s="48"/>
      <c r="O136" s="48"/>
    </row>
    <row r="137" spans="1:15" x14ac:dyDescent="0.25">
      <c r="A137" s="2" t="s">
        <v>357</v>
      </c>
      <c r="B137" s="2"/>
      <c r="C137" s="2"/>
      <c r="D137" s="14">
        <v>29.75</v>
      </c>
      <c r="E137" s="14">
        <v>29.75</v>
      </c>
      <c r="F137" s="2"/>
      <c r="G137" s="49"/>
      <c r="H137" s="49"/>
      <c r="I137" s="49"/>
      <c r="J137" s="49"/>
      <c r="K137" s="48"/>
      <c r="L137" s="48"/>
      <c r="M137" s="48"/>
      <c r="N137" s="48"/>
      <c r="O137" s="48"/>
    </row>
    <row r="138" spans="1:15" x14ac:dyDescent="0.25">
      <c r="A138" s="2" t="s">
        <v>356</v>
      </c>
      <c r="B138" s="6">
        <v>272.21199999999999</v>
      </c>
      <c r="C138" s="6"/>
      <c r="D138" s="2">
        <v>30</v>
      </c>
      <c r="E138" s="14">
        <f>90.737+18</f>
        <v>108.73699999999999</v>
      </c>
      <c r="F138" s="2"/>
      <c r="G138" s="49"/>
      <c r="H138" s="49"/>
      <c r="I138" s="49"/>
      <c r="J138" s="49"/>
      <c r="K138" s="48"/>
      <c r="L138" s="48"/>
      <c r="M138" s="48"/>
      <c r="N138" s="48"/>
      <c r="O138" s="48"/>
    </row>
    <row r="139" spans="1:15" x14ac:dyDescent="0.25">
      <c r="A139" s="2"/>
      <c r="B139" s="2"/>
      <c r="C139" s="2"/>
      <c r="D139" s="2"/>
      <c r="E139" s="2"/>
      <c r="F139" s="2"/>
      <c r="G139" s="49"/>
      <c r="H139" s="49"/>
      <c r="I139" s="49"/>
      <c r="J139" s="49"/>
      <c r="K139" s="48"/>
      <c r="L139" s="48"/>
      <c r="M139" s="48"/>
      <c r="N139" s="48"/>
      <c r="O139" s="48"/>
    </row>
    <row r="140" spans="1:15" x14ac:dyDescent="0.25">
      <c r="A140" s="7" t="s">
        <v>7</v>
      </c>
      <c r="B140" s="8">
        <f>SUM(B123:B139)</f>
        <v>460.74599999999998</v>
      </c>
      <c r="C140" s="8">
        <f>SUM(C123:C139)</f>
        <v>51.869</v>
      </c>
      <c r="D140" s="8">
        <f>SUM(D123:D139)</f>
        <v>59.75</v>
      </c>
      <c r="E140" s="8">
        <f>SUM(E123:E139)</f>
        <v>461.95764999999994</v>
      </c>
      <c r="F140" s="8">
        <f>SUM(F123:F139)</f>
        <v>186.78800000000001</v>
      </c>
      <c r="G140" s="49"/>
      <c r="H140" s="49"/>
      <c r="I140" s="49"/>
      <c r="J140" s="49"/>
      <c r="K140" s="48"/>
      <c r="L140" s="48"/>
      <c r="M140" s="48"/>
      <c r="N140" s="48"/>
      <c r="O140" s="48"/>
    </row>
    <row r="141" spans="1:15" x14ac:dyDescent="0.25">
      <c r="A141" s="15" t="s">
        <v>5</v>
      </c>
      <c r="B141" s="4"/>
      <c r="C141" s="4"/>
      <c r="D141" s="4"/>
      <c r="E141" s="4"/>
      <c r="F141" s="4"/>
      <c r="G141" s="49"/>
      <c r="H141" s="49"/>
      <c r="I141" s="49"/>
      <c r="J141" s="49"/>
      <c r="K141" s="48"/>
      <c r="L141" s="48"/>
      <c r="M141" s="48"/>
      <c r="N141" s="48"/>
      <c r="O141" s="48"/>
    </row>
    <row r="142" spans="1:15" x14ac:dyDescent="0.25">
      <c r="A142" s="85" t="s">
        <v>103</v>
      </c>
      <c r="B142" s="110"/>
      <c r="C142" s="110">
        <v>232.929</v>
      </c>
      <c r="D142" s="110"/>
      <c r="E142" s="110"/>
      <c r="F142" s="110">
        <v>45.628</v>
      </c>
      <c r="G142" s="49"/>
      <c r="H142" s="49"/>
      <c r="I142" s="49"/>
    </row>
    <row r="143" spans="1:15" x14ac:dyDescent="0.25">
      <c r="A143" s="85" t="s">
        <v>224</v>
      </c>
      <c r="B143" s="110"/>
      <c r="C143" s="92">
        <v>556.35900000000004</v>
      </c>
      <c r="D143" s="110"/>
      <c r="E143" s="110"/>
      <c r="F143" s="110"/>
      <c r="G143" s="49"/>
      <c r="H143" s="49"/>
      <c r="I143" s="49"/>
    </row>
    <row r="144" spans="1:15" x14ac:dyDescent="0.25">
      <c r="A144" s="61" t="s">
        <v>147</v>
      </c>
      <c r="B144" s="110"/>
      <c r="C144" s="110"/>
      <c r="D144" s="110"/>
      <c r="E144" s="110">
        <v>716.14499999999998</v>
      </c>
      <c r="F144" s="110"/>
      <c r="G144" s="68"/>
      <c r="H144" s="68"/>
      <c r="I144" s="69"/>
      <c r="J144" s="49"/>
      <c r="K144" s="48"/>
      <c r="L144" s="48"/>
      <c r="M144" s="48"/>
      <c r="N144" s="48"/>
      <c r="O144" s="48"/>
    </row>
    <row r="145" spans="1:15" x14ac:dyDescent="0.25">
      <c r="A145" s="61" t="s">
        <v>152</v>
      </c>
      <c r="B145" s="110"/>
      <c r="C145" s="110"/>
      <c r="D145" s="110"/>
      <c r="E145" s="110">
        <v>16</v>
      </c>
      <c r="F145" s="110"/>
      <c r="G145" s="106">
        <f>SUM(B144:E145)</f>
        <v>732.14499999999998</v>
      </c>
      <c r="H145" s="71" t="s">
        <v>156</v>
      </c>
      <c r="I145" s="72"/>
      <c r="J145" s="49"/>
      <c r="K145" s="48"/>
      <c r="L145" s="48"/>
      <c r="M145" s="48"/>
      <c r="N145" s="48"/>
      <c r="O145" s="48"/>
    </row>
    <row r="146" spans="1:15" x14ac:dyDescent="0.25">
      <c r="A146" s="9" t="s">
        <v>29</v>
      </c>
      <c r="B146" s="110"/>
      <c r="C146" s="110"/>
      <c r="D146" s="110">
        <v>69.058000000000007</v>
      </c>
      <c r="E146" s="110"/>
      <c r="F146" s="110"/>
      <c r="G146" s="49"/>
      <c r="H146" s="49"/>
      <c r="I146" s="49"/>
      <c r="J146" s="49"/>
      <c r="K146" s="48"/>
      <c r="L146" s="48"/>
      <c r="M146" s="48"/>
      <c r="N146" s="48"/>
      <c r="O146" s="48"/>
    </row>
    <row r="147" spans="1:15" x14ac:dyDescent="0.25">
      <c r="A147" s="10" t="s">
        <v>189</v>
      </c>
      <c r="B147" s="110"/>
      <c r="C147" s="110">
        <v>57.445</v>
      </c>
      <c r="D147" s="110"/>
      <c r="E147" s="110"/>
      <c r="F147" s="110"/>
      <c r="G147" s="49"/>
      <c r="H147" s="49"/>
      <c r="I147" s="49"/>
      <c r="J147" s="49"/>
      <c r="K147" s="48"/>
      <c r="L147" s="48"/>
      <c r="M147" s="48"/>
      <c r="N147" s="48"/>
      <c r="O147" s="48"/>
    </row>
    <row r="148" spans="1:15" x14ac:dyDescent="0.25">
      <c r="A148" s="10" t="s">
        <v>10</v>
      </c>
      <c r="B148" s="110"/>
      <c r="C148" s="110"/>
      <c r="D148" s="110"/>
      <c r="E148" s="110"/>
      <c r="F148" s="110">
        <v>10</v>
      </c>
      <c r="G148" s="49"/>
      <c r="H148" s="49"/>
      <c r="I148" s="49"/>
      <c r="J148" s="49"/>
      <c r="K148" s="48"/>
      <c r="L148" s="48"/>
      <c r="M148" s="48"/>
      <c r="N148" s="48"/>
      <c r="O148" s="48"/>
    </row>
    <row r="149" spans="1:15" x14ac:dyDescent="0.25">
      <c r="A149" s="2" t="s">
        <v>73</v>
      </c>
      <c r="B149" s="110">
        <f>8.99084+0.06</f>
        <v>9.0508400000000009</v>
      </c>
      <c r="C149" s="110"/>
      <c r="D149" s="110"/>
      <c r="E149" s="110"/>
      <c r="F149" s="110">
        <v>0.6865</v>
      </c>
      <c r="G149" s="49"/>
      <c r="H149" s="49"/>
      <c r="I149" s="49"/>
      <c r="J149" s="49"/>
      <c r="K149" s="48"/>
      <c r="L149" s="48"/>
      <c r="M149" s="48"/>
      <c r="N149" s="48"/>
      <c r="O149" s="48"/>
    </row>
    <row r="150" spans="1:15" x14ac:dyDescent="0.25">
      <c r="A150" s="2" t="s">
        <v>52</v>
      </c>
      <c r="B150" s="110">
        <v>7.4284800000000004</v>
      </c>
      <c r="C150" s="110"/>
      <c r="D150" s="110"/>
      <c r="E150" s="110"/>
      <c r="F150" s="110">
        <v>2.83</v>
      </c>
      <c r="G150" s="49"/>
      <c r="H150" s="49"/>
      <c r="I150" s="49"/>
      <c r="J150" s="49"/>
      <c r="K150" s="48"/>
      <c r="L150" s="48"/>
      <c r="M150" s="48"/>
      <c r="N150" s="48"/>
      <c r="O150" s="48"/>
    </row>
    <row r="151" spans="1:15" x14ac:dyDescent="0.25">
      <c r="A151" s="10" t="s">
        <v>12</v>
      </c>
      <c r="B151" s="110"/>
      <c r="C151" s="110">
        <v>2.0791599999999999</v>
      </c>
      <c r="D151" s="110"/>
      <c r="E151" s="110"/>
      <c r="F151" s="110">
        <v>2.1269300000000002</v>
      </c>
      <c r="G151" s="49"/>
      <c r="H151" s="49"/>
      <c r="I151" s="49"/>
      <c r="J151" s="49"/>
      <c r="K151" s="48"/>
      <c r="L151" s="48"/>
      <c r="M151" s="48"/>
      <c r="N151" s="48"/>
      <c r="O151" s="48"/>
    </row>
    <row r="152" spans="1:15" x14ac:dyDescent="0.25">
      <c r="A152" s="59" t="s">
        <v>145</v>
      </c>
      <c r="B152" s="110"/>
      <c r="C152" s="110"/>
      <c r="D152" s="110"/>
      <c r="E152" s="110"/>
      <c r="F152" s="110"/>
      <c r="G152" s="68"/>
      <c r="H152" s="68"/>
      <c r="I152" s="69"/>
      <c r="J152" s="49"/>
      <c r="K152" s="48"/>
      <c r="L152" s="48"/>
      <c r="M152" s="48"/>
      <c r="N152" s="48"/>
      <c r="O152" s="48"/>
    </row>
    <row r="153" spans="1:15" x14ac:dyDescent="0.25">
      <c r="A153" s="59" t="s">
        <v>146</v>
      </c>
      <c r="B153" s="110"/>
      <c r="C153" s="110"/>
      <c r="D153" s="110"/>
      <c r="E153" s="110"/>
      <c r="F153" s="110"/>
      <c r="G153" s="106">
        <f>SUM(B152:E153)</f>
        <v>0</v>
      </c>
      <c r="H153" s="71" t="s">
        <v>155</v>
      </c>
      <c r="I153" s="72"/>
      <c r="J153" s="49"/>
      <c r="K153" s="48"/>
      <c r="L153" s="48"/>
      <c r="M153" s="48"/>
      <c r="N153" s="48"/>
      <c r="O153" s="48"/>
    </row>
    <row r="154" spans="1:15" x14ac:dyDescent="0.25">
      <c r="A154" s="2" t="s">
        <v>24</v>
      </c>
      <c r="B154" s="110"/>
      <c r="C154" s="110"/>
      <c r="D154" s="110"/>
      <c r="E154" s="110"/>
      <c r="F154" s="110">
        <v>2.17618</v>
      </c>
      <c r="G154" s="64"/>
      <c r="H154" s="64"/>
      <c r="I154" s="64"/>
      <c r="J154" s="49"/>
      <c r="K154" s="48"/>
      <c r="L154" s="48"/>
      <c r="M154" s="48"/>
      <c r="N154" s="48"/>
      <c r="O154" s="48"/>
    </row>
    <row r="155" spans="1:15" x14ac:dyDescent="0.25">
      <c r="A155" s="2" t="s">
        <v>68</v>
      </c>
      <c r="B155" s="110">
        <v>25.845379999999999</v>
      </c>
      <c r="C155" s="110"/>
      <c r="D155" s="110"/>
      <c r="E155" s="110"/>
      <c r="F155" s="110"/>
      <c r="G155" s="64"/>
      <c r="H155" s="64"/>
      <c r="I155" s="64"/>
      <c r="J155" s="49"/>
      <c r="K155" s="48"/>
      <c r="L155" s="48"/>
      <c r="M155" s="48"/>
      <c r="N155" s="48"/>
      <c r="O155" s="48"/>
    </row>
    <row r="156" spans="1:15" x14ac:dyDescent="0.25">
      <c r="A156" s="59" t="s">
        <v>148</v>
      </c>
      <c r="B156" s="110"/>
      <c r="C156" s="110"/>
      <c r="D156" s="110"/>
      <c r="E156" s="110"/>
      <c r="F156" s="110"/>
      <c r="G156" s="68"/>
      <c r="H156" s="68"/>
      <c r="I156" s="69"/>
      <c r="J156" s="49"/>
      <c r="K156" s="48"/>
      <c r="L156" s="48"/>
      <c r="M156" s="48"/>
      <c r="N156" s="48"/>
      <c r="O156" s="48"/>
    </row>
    <row r="157" spans="1:15" x14ac:dyDescent="0.25">
      <c r="A157" s="59" t="s">
        <v>149</v>
      </c>
      <c r="B157" s="110">
        <f>11.84475</f>
        <v>11.844749999999999</v>
      </c>
      <c r="C157" s="110"/>
      <c r="D157" s="110"/>
      <c r="E157" s="110"/>
      <c r="F157" s="110"/>
      <c r="G157" s="106">
        <f>SUM(B156:E157)</f>
        <v>11.844749999999999</v>
      </c>
      <c r="H157" s="71" t="s">
        <v>157</v>
      </c>
      <c r="I157" s="72"/>
      <c r="J157" s="49"/>
      <c r="K157" s="48"/>
      <c r="L157" s="48"/>
      <c r="M157" s="48"/>
      <c r="N157" s="48"/>
      <c r="O157" s="48"/>
    </row>
    <row r="158" spans="1:15" x14ac:dyDescent="0.25">
      <c r="A158" s="59" t="s">
        <v>151</v>
      </c>
      <c r="B158" s="110"/>
      <c r="C158" s="110"/>
      <c r="D158" s="110"/>
      <c r="E158" s="110"/>
      <c r="F158" s="110"/>
      <c r="G158" s="68"/>
      <c r="H158" s="68"/>
      <c r="I158" s="69"/>
      <c r="J158" s="49"/>
      <c r="K158" s="48"/>
      <c r="L158" s="48"/>
      <c r="M158" s="48"/>
      <c r="N158" s="48"/>
      <c r="O158" s="48"/>
    </row>
    <row r="159" spans="1:15" x14ac:dyDescent="0.25">
      <c r="A159" s="59" t="s">
        <v>150</v>
      </c>
      <c r="B159" s="110"/>
      <c r="C159" s="110"/>
      <c r="D159" s="110"/>
      <c r="E159" s="110"/>
      <c r="F159" s="110"/>
      <c r="G159" s="106">
        <f>SUM(B158:E159)</f>
        <v>0</v>
      </c>
      <c r="H159" s="71" t="s">
        <v>158</v>
      </c>
      <c r="I159" s="72"/>
      <c r="J159" s="49"/>
      <c r="K159" s="48"/>
      <c r="L159" s="48"/>
      <c r="M159" s="48"/>
      <c r="N159" s="48"/>
      <c r="O159" s="48"/>
    </row>
    <row r="160" spans="1:15" x14ac:dyDescent="0.25">
      <c r="A160" s="2" t="s">
        <v>94</v>
      </c>
      <c r="B160" s="110"/>
      <c r="C160" s="110"/>
      <c r="D160" s="110"/>
      <c r="E160" s="110"/>
      <c r="F160" s="110"/>
      <c r="G160" s="49"/>
      <c r="H160" s="49"/>
      <c r="I160" s="49"/>
      <c r="J160" s="49"/>
      <c r="K160" s="48"/>
      <c r="L160" s="48"/>
      <c r="M160" s="48"/>
      <c r="N160" s="48"/>
      <c r="O160" s="48"/>
    </row>
    <row r="161" spans="1:15" x14ac:dyDescent="0.25">
      <c r="A161" s="100" t="s">
        <v>226</v>
      </c>
      <c r="B161" s="110"/>
      <c r="C161" s="110"/>
      <c r="D161" s="110"/>
      <c r="E161" s="110"/>
      <c r="F161" s="110"/>
      <c r="G161" s="49"/>
      <c r="H161" s="49"/>
      <c r="I161" s="49"/>
      <c r="J161" s="49"/>
      <c r="K161" s="48"/>
      <c r="L161" s="48"/>
      <c r="M161" s="48"/>
      <c r="N161" s="48"/>
      <c r="O161" s="48"/>
    </row>
    <row r="162" spans="1:15" x14ac:dyDescent="0.25">
      <c r="A162" s="100" t="s">
        <v>193</v>
      </c>
      <c r="B162" s="110"/>
      <c r="C162" s="110"/>
      <c r="D162" s="110"/>
      <c r="E162" s="110"/>
      <c r="F162" s="110"/>
      <c r="G162" s="49"/>
      <c r="H162" s="49"/>
      <c r="I162" s="49"/>
      <c r="J162" s="49"/>
      <c r="K162" s="48"/>
      <c r="L162" s="48"/>
      <c r="M162" s="48"/>
      <c r="N162" s="48"/>
      <c r="O162" s="48"/>
    </row>
    <row r="163" spans="1:15" x14ac:dyDescent="0.25">
      <c r="A163" s="2" t="s">
        <v>98</v>
      </c>
      <c r="B163" s="110"/>
      <c r="C163" s="110">
        <v>4</v>
      </c>
      <c r="D163" s="110"/>
      <c r="E163" s="110"/>
      <c r="F163" s="110"/>
      <c r="G163" s="49"/>
      <c r="H163" s="49"/>
      <c r="I163" s="49"/>
      <c r="J163" s="49"/>
      <c r="K163" s="48"/>
      <c r="L163" s="48"/>
      <c r="M163" s="48"/>
      <c r="N163" s="48"/>
      <c r="O163" s="48"/>
    </row>
    <row r="164" spans="1:15" x14ac:dyDescent="0.25">
      <c r="A164" s="2" t="s">
        <v>42</v>
      </c>
      <c r="B164" s="110"/>
      <c r="C164" s="110"/>
      <c r="D164" s="110"/>
      <c r="E164" s="110"/>
      <c r="F164" s="110"/>
      <c r="G164" s="49"/>
      <c r="H164" s="49"/>
      <c r="I164" s="49"/>
      <c r="J164" s="49"/>
      <c r="K164" s="48"/>
      <c r="L164" s="48"/>
      <c r="M164" s="48"/>
      <c r="N164" s="48"/>
      <c r="O164" s="48"/>
    </row>
    <row r="165" spans="1:15" x14ac:dyDescent="0.25">
      <c r="A165" s="2" t="s">
        <v>76</v>
      </c>
      <c r="B165" s="110"/>
      <c r="C165" s="110"/>
      <c r="D165" s="110">
        <v>0.53517999999999999</v>
      </c>
      <c r="E165" s="110"/>
      <c r="F165" s="110"/>
      <c r="G165" s="49"/>
      <c r="H165" s="49"/>
      <c r="I165" s="49"/>
      <c r="J165" s="49"/>
      <c r="K165" s="48"/>
      <c r="L165" s="48"/>
      <c r="M165" s="48"/>
      <c r="N165" s="48"/>
      <c r="O165" s="48"/>
    </row>
    <row r="166" spans="1:15" x14ac:dyDescent="0.25">
      <c r="A166" s="2" t="s">
        <v>30</v>
      </c>
      <c r="C166" s="110"/>
      <c r="D166" s="110"/>
      <c r="E166" s="110"/>
      <c r="F166" s="110">
        <v>37.064999999999998</v>
      </c>
      <c r="G166" s="49"/>
      <c r="H166" s="49"/>
      <c r="I166" s="49"/>
      <c r="J166" s="49"/>
      <c r="K166" s="48"/>
      <c r="L166" s="48"/>
      <c r="M166" s="48"/>
      <c r="N166" s="48"/>
      <c r="O166" s="48"/>
    </row>
    <row r="167" spans="1:15" x14ac:dyDescent="0.25">
      <c r="A167" s="9" t="s">
        <v>15</v>
      </c>
      <c r="B167" s="110">
        <v>16.910609999999998</v>
      </c>
      <c r="C167" s="110"/>
      <c r="D167" s="110"/>
      <c r="E167" s="110"/>
      <c r="F167" s="110">
        <v>17.917000000000002</v>
      </c>
      <c r="G167" s="49"/>
      <c r="H167" s="49"/>
      <c r="I167" s="49"/>
      <c r="J167" s="49"/>
      <c r="K167" s="48"/>
      <c r="L167" s="48"/>
      <c r="M167" s="48"/>
      <c r="N167" s="48"/>
      <c r="O167" s="48"/>
    </row>
    <row r="168" spans="1:15" x14ac:dyDescent="0.25">
      <c r="A168" s="2" t="s">
        <v>34</v>
      </c>
      <c r="B168" s="110"/>
      <c r="C168" s="110">
        <v>27.7</v>
      </c>
      <c r="D168" s="110"/>
      <c r="E168" s="110">
        <v>3</v>
      </c>
      <c r="F168" s="110"/>
      <c r="G168" s="49"/>
      <c r="H168" s="49"/>
      <c r="I168" s="49"/>
      <c r="J168" s="49"/>
      <c r="K168" s="48"/>
      <c r="L168" s="48"/>
      <c r="M168" s="48"/>
      <c r="N168" s="48"/>
      <c r="O168" s="48"/>
    </row>
    <row r="169" spans="1:15" x14ac:dyDescent="0.25">
      <c r="A169" s="2" t="s">
        <v>41</v>
      </c>
      <c r="B169" s="110"/>
      <c r="C169" s="110">
        <v>0.34773999999999999</v>
      </c>
      <c r="D169" s="110"/>
      <c r="E169" s="110"/>
      <c r="F169" s="110"/>
      <c r="G169" s="49"/>
      <c r="H169" s="49"/>
      <c r="I169" s="49"/>
      <c r="J169" s="49"/>
      <c r="K169" s="48"/>
      <c r="L169" s="48"/>
      <c r="M169" s="48"/>
      <c r="N169" s="48"/>
      <c r="O169" s="48"/>
    </row>
    <row r="170" spans="1:15" x14ac:dyDescent="0.25">
      <c r="A170" s="2" t="s">
        <v>36</v>
      </c>
      <c r="B170" s="110"/>
      <c r="C170" s="110"/>
      <c r="D170" s="110">
        <v>1.09951</v>
      </c>
      <c r="E170" s="110"/>
      <c r="F170" s="110"/>
      <c r="G170" s="49"/>
      <c r="H170" s="49"/>
      <c r="I170" s="49"/>
      <c r="J170" s="49"/>
      <c r="K170" s="48"/>
      <c r="L170" s="48"/>
      <c r="M170" s="48"/>
      <c r="N170" s="48"/>
      <c r="O170" s="48"/>
    </row>
    <row r="171" spans="1:15" s="1" customFormat="1" x14ac:dyDescent="0.25">
      <c r="A171" s="2" t="s">
        <v>54</v>
      </c>
      <c r="B171" s="110">
        <v>0.77500000000000002</v>
      </c>
      <c r="C171" s="110">
        <v>2.8333900000000001</v>
      </c>
      <c r="D171" s="110"/>
      <c r="E171" s="110"/>
      <c r="F171" s="110"/>
      <c r="G171" s="49"/>
      <c r="H171" s="49"/>
      <c r="I171" s="49"/>
      <c r="J171" s="49"/>
      <c r="K171" s="48"/>
      <c r="L171" s="48"/>
      <c r="M171" s="48"/>
      <c r="N171" s="48"/>
      <c r="O171" s="48"/>
    </row>
    <row r="172" spans="1:15" x14ac:dyDescent="0.25">
      <c r="A172" s="2" t="s">
        <v>23</v>
      </c>
      <c r="C172" s="110"/>
      <c r="D172" s="110"/>
      <c r="E172" s="110"/>
      <c r="F172" s="110"/>
      <c r="G172" s="49"/>
      <c r="H172" s="49"/>
      <c r="I172" s="49"/>
    </row>
    <row r="173" spans="1:15" x14ac:dyDescent="0.25">
      <c r="A173" s="2" t="s">
        <v>40</v>
      </c>
      <c r="B173" s="86"/>
      <c r="C173" s="86">
        <v>10.866</v>
      </c>
      <c r="D173" s="86"/>
      <c r="E173" s="2"/>
      <c r="F173" s="2"/>
      <c r="G173" s="49"/>
      <c r="H173" s="49"/>
      <c r="I173" s="49"/>
    </row>
    <row r="174" spans="1:15" x14ac:dyDescent="0.25">
      <c r="A174" s="2" t="s">
        <v>346</v>
      </c>
      <c r="B174" s="86"/>
      <c r="C174" s="86"/>
      <c r="D174" s="86"/>
      <c r="E174" s="86"/>
      <c r="F174" s="86"/>
      <c r="G174" s="49"/>
      <c r="H174" s="49"/>
      <c r="I174" s="49"/>
    </row>
    <row r="175" spans="1:15" s="1" customFormat="1" x14ac:dyDescent="0.25">
      <c r="A175" s="2" t="s">
        <v>218</v>
      </c>
      <c r="B175" s="4"/>
      <c r="C175" s="110"/>
      <c r="D175" s="110"/>
      <c r="E175" s="111"/>
      <c r="F175" s="111"/>
      <c r="G175" s="49"/>
      <c r="H175" s="49"/>
      <c r="I175" s="49"/>
      <c r="J175" s="49"/>
      <c r="K175" s="48"/>
      <c r="L175" s="48"/>
      <c r="M175" s="48"/>
      <c r="N175" s="48"/>
      <c r="O175" s="48"/>
    </row>
    <row r="176" spans="1:15" x14ac:dyDescent="0.25">
      <c r="A176" s="2" t="s">
        <v>183</v>
      </c>
      <c r="B176" s="2"/>
      <c r="C176" s="110"/>
      <c r="D176" s="110"/>
      <c r="E176" s="110"/>
      <c r="F176" s="110"/>
      <c r="G176" s="49"/>
      <c r="H176" s="49"/>
      <c r="I176" s="49"/>
    </row>
    <row r="177" spans="1:15" x14ac:dyDescent="0.25">
      <c r="A177" s="2" t="s">
        <v>355</v>
      </c>
      <c r="B177" s="110"/>
      <c r="C177" s="110">
        <v>41.472000000000001</v>
      </c>
      <c r="D177" s="110"/>
      <c r="E177" s="110"/>
      <c r="F177" s="110"/>
      <c r="G177" s="1"/>
      <c r="H177" s="1"/>
      <c r="I177" s="1"/>
    </row>
    <row r="178" spans="1:15" x14ac:dyDescent="0.25">
      <c r="A178" s="2" t="s">
        <v>348</v>
      </c>
      <c r="B178" s="110"/>
      <c r="C178" s="110"/>
      <c r="D178" s="110"/>
      <c r="E178" s="110"/>
      <c r="F178" s="110"/>
      <c r="G178" s="1"/>
      <c r="H178" s="1"/>
      <c r="I178" s="1"/>
    </row>
    <row r="179" spans="1:15" x14ac:dyDescent="0.25">
      <c r="A179" s="2" t="s">
        <v>35</v>
      </c>
      <c r="B179" s="86">
        <v>4.6239999999999997</v>
      </c>
      <c r="C179" s="86"/>
      <c r="D179" s="86"/>
      <c r="E179" s="86"/>
      <c r="F179" s="86"/>
      <c r="G179" s="49"/>
      <c r="H179" s="49"/>
      <c r="I179" s="49"/>
    </row>
    <row r="180" spans="1:15" x14ac:dyDescent="0.25">
      <c r="A180" s="10" t="s">
        <v>9</v>
      </c>
      <c r="B180" s="110">
        <v>4.7957000000000001</v>
      </c>
      <c r="C180" s="2"/>
      <c r="D180" s="2"/>
      <c r="E180" s="86"/>
      <c r="F180" s="86"/>
      <c r="G180" s="49"/>
      <c r="H180" s="49"/>
      <c r="I180" s="49"/>
      <c r="J180" s="49"/>
      <c r="K180" s="48"/>
      <c r="L180" s="48"/>
      <c r="M180" s="48"/>
      <c r="N180" s="48"/>
      <c r="O180" s="48"/>
    </row>
    <row r="181" spans="1:15" x14ac:dyDescent="0.25">
      <c r="A181" s="2" t="s">
        <v>111</v>
      </c>
      <c r="B181" s="86"/>
      <c r="C181" s="2"/>
      <c r="D181" s="86">
        <v>42.245049999999999</v>
      </c>
      <c r="E181" s="86"/>
      <c r="F181" s="86"/>
      <c r="G181" s="49"/>
      <c r="H181" s="49"/>
      <c r="I181" s="49"/>
      <c r="J181" s="49"/>
      <c r="K181" s="48"/>
      <c r="L181" s="48"/>
      <c r="M181" s="48"/>
      <c r="N181" s="48"/>
      <c r="O181" s="48"/>
    </row>
    <row r="182" spans="1:15" x14ac:dyDescent="0.25">
      <c r="A182" s="10" t="s">
        <v>354</v>
      </c>
      <c r="B182" s="86"/>
      <c r="C182" s="86"/>
      <c r="D182" s="86">
        <v>9.4247999999999994</v>
      </c>
      <c r="E182" s="86"/>
      <c r="F182" s="86">
        <v>0.74375000000000002</v>
      </c>
      <c r="G182" s="64"/>
      <c r="H182" s="64"/>
      <c r="I182" s="64"/>
      <c r="J182" s="49"/>
      <c r="K182" s="48"/>
      <c r="L182" s="48"/>
      <c r="M182" s="48"/>
      <c r="N182" s="48"/>
      <c r="O182" s="48"/>
    </row>
    <row r="183" spans="1:15" x14ac:dyDescent="0.25">
      <c r="A183" s="2" t="s">
        <v>188</v>
      </c>
      <c r="B183" s="86"/>
      <c r="C183" s="86"/>
      <c r="D183" s="86"/>
      <c r="E183" s="86"/>
      <c r="F183" s="86"/>
      <c r="G183" s="49"/>
      <c r="H183" s="49"/>
      <c r="I183" s="49"/>
    </row>
    <row r="184" spans="1:15" x14ac:dyDescent="0.25">
      <c r="A184" s="2" t="s">
        <v>91</v>
      </c>
      <c r="B184" s="86">
        <v>1.5</v>
      </c>
      <c r="C184" s="86"/>
      <c r="D184" s="86"/>
      <c r="E184" s="86"/>
      <c r="F184" s="86"/>
      <c r="G184" s="49"/>
      <c r="H184" s="49"/>
      <c r="I184" s="49"/>
    </row>
    <row r="185" spans="1:15" hidden="1" x14ac:dyDescent="0.25">
      <c r="A185" s="123" t="s">
        <v>182</v>
      </c>
      <c r="B185" s="110"/>
      <c r="C185" s="110"/>
      <c r="D185" s="110"/>
      <c r="E185" s="110"/>
      <c r="F185" s="110"/>
      <c r="G185" s="49"/>
      <c r="H185" s="49"/>
      <c r="I185" s="49"/>
    </row>
    <row r="186" spans="1:15" hidden="1" x14ac:dyDescent="0.25">
      <c r="A186" s="2" t="s">
        <v>211</v>
      </c>
      <c r="B186" s="2"/>
      <c r="D186" s="110"/>
      <c r="E186" s="110"/>
      <c r="F186" s="110"/>
      <c r="G186" s="49"/>
      <c r="H186" s="49"/>
      <c r="I186" s="49"/>
      <c r="J186" s="49"/>
      <c r="K186" s="48"/>
      <c r="L186" s="48"/>
      <c r="M186" s="48"/>
      <c r="N186" s="48"/>
      <c r="O186" s="48"/>
    </row>
    <row r="187" spans="1:15" hidden="1" x14ac:dyDescent="0.25">
      <c r="A187" s="112" t="s">
        <v>228</v>
      </c>
      <c r="B187" s="2"/>
      <c r="C187" s="110"/>
      <c r="D187" s="110"/>
      <c r="E187" s="110"/>
      <c r="F187" s="110"/>
      <c r="G187" s="49"/>
      <c r="H187" s="49"/>
      <c r="I187" s="49"/>
      <c r="J187" s="49"/>
      <c r="K187" s="48"/>
      <c r="L187" s="48"/>
      <c r="M187" s="48"/>
      <c r="N187" s="48"/>
      <c r="O187" s="48"/>
    </row>
    <row r="188" spans="1:15" hidden="1" x14ac:dyDescent="0.25">
      <c r="A188" s="2" t="s">
        <v>22</v>
      </c>
      <c r="B188" s="110"/>
      <c r="C188" s="110"/>
      <c r="D188" s="110"/>
      <c r="E188" s="110"/>
      <c r="F188" s="110"/>
      <c r="G188" s="49"/>
      <c r="H188" s="49"/>
      <c r="I188" s="49"/>
    </row>
    <row r="189" spans="1:15" hidden="1" x14ac:dyDescent="0.25">
      <c r="A189" s="10" t="s">
        <v>13</v>
      </c>
      <c r="B189" s="110"/>
      <c r="C189" s="110"/>
      <c r="D189" s="110"/>
      <c r="E189" s="110"/>
      <c r="F189" s="110"/>
      <c r="G189" s="49"/>
      <c r="H189" s="49"/>
      <c r="I189" s="49"/>
      <c r="J189" s="49"/>
      <c r="K189" s="48"/>
      <c r="L189" s="48"/>
      <c r="M189" s="48"/>
      <c r="N189" s="48"/>
      <c r="O189" s="48"/>
    </row>
    <row r="190" spans="1:15" hidden="1" x14ac:dyDescent="0.25">
      <c r="A190" s="2" t="s">
        <v>209</v>
      </c>
      <c r="B190" s="110"/>
      <c r="C190" s="110"/>
      <c r="D190" s="110"/>
      <c r="E190" s="110"/>
      <c r="F190" s="110"/>
      <c r="G190" s="49"/>
      <c r="H190" s="49"/>
      <c r="I190" s="49"/>
    </row>
    <row r="191" spans="1:15" hidden="1" x14ac:dyDescent="0.25">
      <c r="A191" s="2" t="s">
        <v>208</v>
      </c>
      <c r="B191" s="110"/>
      <c r="C191" s="110"/>
      <c r="D191" s="110"/>
      <c r="E191" s="110"/>
      <c r="F191" s="110"/>
      <c r="G191" s="49"/>
      <c r="H191" s="49"/>
      <c r="I191" s="49"/>
    </row>
    <row r="192" spans="1:15" hidden="1" x14ac:dyDescent="0.25">
      <c r="A192" s="2" t="s">
        <v>223</v>
      </c>
      <c r="B192" s="110"/>
      <c r="C192" s="110"/>
      <c r="D192" s="110"/>
      <c r="E192" s="110"/>
      <c r="F192" s="110"/>
      <c r="G192" s="49"/>
      <c r="H192" s="49"/>
      <c r="I192" s="49"/>
    </row>
    <row r="193" spans="1:15" hidden="1" x14ac:dyDescent="0.25">
      <c r="A193" s="2" t="s">
        <v>225</v>
      </c>
      <c r="B193" s="110"/>
      <c r="C193" s="110"/>
      <c r="D193" s="110"/>
      <c r="E193" s="110"/>
      <c r="F193" s="110"/>
      <c r="G193" s="49"/>
      <c r="H193" s="49"/>
      <c r="I193" s="49"/>
    </row>
    <row r="194" spans="1:15" hidden="1" x14ac:dyDescent="0.25">
      <c r="A194" s="2" t="s">
        <v>227</v>
      </c>
      <c r="B194" s="86"/>
      <c r="C194" s="86"/>
      <c r="D194" s="86"/>
      <c r="E194" s="2"/>
      <c r="F194" s="2"/>
      <c r="G194" s="49"/>
      <c r="H194" s="49"/>
      <c r="I194" s="49"/>
    </row>
    <row r="195" spans="1:15" hidden="1" x14ac:dyDescent="0.25">
      <c r="A195" s="2" t="s">
        <v>190</v>
      </c>
      <c r="B195" s="2"/>
      <c r="C195" s="86"/>
      <c r="D195" s="2"/>
      <c r="E195" s="86"/>
      <c r="F195" s="86"/>
      <c r="G195" s="49"/>
      <c r="H195" s="49"/>
      <c r="I195" s="49"/>
    </row>
    <row r="196" spans="1:15" hidden="1" x14ac:dyDescent="0.25">
      <c r="A196" s="2" t="s">
        <v>202</v>
      </c>
      <c r="B196" s="86"/>
      <c r="C196" s="86"/>
      <c r="D196" s="86"/>
      <c r="E196" s="86"/>
      <c r="F196" s="86"/>
      <c r="G196" s="49"/>
      <c r="H196" s="49"/>
      <c r="I196" s="49"/>
    </row>
    <row r="197" spans="1:15" hidden="1" x14ac:dyDescent="0.25">
      <c r="A197" s="2" t="s">
        <v>210</v>
      </c>
      <c r="B197" s="2"/>
      <c r="C197" s="86"/>
      <c r="D197" s="86"/>
      <c r="E197" s="86"/>
      <c r="F197" s="86"/>
      <c r="G197" s="49"/>
      <c r="H197" s="49"/>
      <c r="I197" s="49"/>
    </row>
    <row r="198" spans="1:15" hidden="1" x14ac:dyDescent="0.25">
      <c r="A198" s="2" t="s">
        <v>215</v>
      </c>
      <c r="B198" s="86"/>
      <c r="C198" s="86"/>
      <c r="D198" s="86"/>
      <c r="E198" s="86"/>
      <c r="F198" s="86"/>
      <c r="G198" s="49"/>
      <c r="H198" s="49"/>
      <c r="I198" s="49"/>
    </row>
    <row r="199" spans="1:15" hidden="1" x14ac:dyDescent="0.25">
      <c r="A199" s="2" t="s">
        <v>62</v>
      </c>
      <c r="B199" s="86"/>
      <c r="C199" s="86"/>
      <c r="D199" s="86"/>
      <c r="E199" s="86"/>
      <c r="F199" s="86"/>
      <c r="G199" s="49"/>
      <c r="H199" s="49"/>
      <c r="I199" s="49"/>
      <c r="J199" s="49"/>
      <c r="K199" s="48"/>
      <c r="L199" s="48"/>
      <c r="M199" s="48"/>
      <c r="N199" s="48"/>
      <c r="O199" s="48"/>
    </row>
    <row r="200" spans="1:15" hidden="1" x14ac:dyDescent="0.25">
      <c r="A200" s="2" t="s">
        <v>80</v>
      </c>
      <c r="B200" s="86"/>
      <c r="C200" s="86"/>
      <c r="D200" s="86"/>
      <c r="E200" s="86"/>
      <c r="F200" s="86"/>
      <c r="G200" s="49"/>
      <c r="H200" s="49"/>
      <c r="I200" s="49"/>
      <c r="J200" s="49"/>
      <c r="K200" s="48"/>
      <c r="L200" s="48"/>
      <c r="M200" s="48"/>
      <c r="N200" s="48"/>
      <c r="O200" s="48"/>
    </row>
    <row r="201" spans="1:15" hidden="1" x14ac:dyDescent="0.25">
      <c r="A201" s="2" t="s">
        <v>43</v>
      </c>
      <c r="B201" s="86"/>
      <c r="C201" s="86"/>
      <c r="D201" s="86"/>
      <c r="E201" s="86"/>
      <c r="F201" s="86"/>
      <c r="G201" s="49"/>
      <c r="H201" s="49"/>
      <c r="I201" s="49"/>
      <c r="J201" s="49"/>
      <c r="K201" s="48"/>
      <c r="L201" s="48"/>
      <c r="M201" s="48"/>
      <c r="N201" s="48"/>
      <c r="O201" s="48"/>
    </row>
    <row r="202" spans="1:15" hidden="1" x14ac:dyDescent="0.25">
      <c r="A202" s="9" t="s">
        <v>8</v>
      </c>
      <c r="B202" s="2"/>
      <c r="C202" s="2"/>
      <c r="D202" s="86"/>
      <c r="E202" s="86"/>
      <c r="F202" s="86"/>
      <c r="G202" s="49"/>
      <c r="H202" s="49"/>
      <c r="I202" s="49"/>
    </row>
    <row r="203" spans="1:15" hidden="1" x14ac:dyDescent="0.25">
      <c r="A203" s="2" t="s">
        <v>25</v>
      </c>
      <c r="B203" s="2"/>
      <c r="C203" s="86"/>
      <c r="D203" s="86"/>
      <c r="E203" s="2"/>
      <c r="F203" s="2"/>
      <c r="G203" s="64"/>
      <c r="H203" s="64"/>
      <c r="I203" s="64"/>
      <c r="J203" s="49"/>
      <c r="K203" s="48"/>
      <c r="L203" s="48"/>
      <c r="M203" s="48"/>
      <c r="N203" s="48"/>
      <c r="O203" s="48"/>
    </row>
    <row r="204" spans="1:15" hidden="1" x14ac:dyDescent="0.25">
      <c r="A204" s="2" t="s">
        <v>71</v>
      </c>
      <c r="B204" s="86"/>
      <c r="C204" s="109"/>
      <c r="D204" s="109"/>
      <c r="E204" s="109"/>
      <c r="F204" s="109"/>
      <c r="G204" s="49"/>
      <c r="H204" s="49"/>
      <c r="I204" s="49"/>
      <c r="J204" s="49"/>
      <c r="K204" s="48"/>
      <c r="L204" s="48"/>
      <c r="M204" s="48"/>
      <c r="N204" s="48"/>
      <c r="O204" s="48"/>
    </row>
    <row r="205" spans="1:15" hidden="1" x14ac:dyDescent="0.25">
      <c r="A205" s="2" t="s">
        <v>216</v>
      </c>
      <c r="B205" s="86"/>
      <c r="C205" s="86"/>
      <c r="D205" s="86"/>
      <c r="E205" s="86"/>
      <c r="F205" s="86"/>
      <c r="G205" s="49"/>
      <c r="H205" s="49"/>
      <c r="I205" s="49"/>
    </row>
    <row r="206" spans="1:15" hidden="1" x14ac:dyDescent="0.25">
      <c r="A206" s="2" t="s">
        <v>86</v>
      </c>
      <c r="B206" s="86"/>
      <c r="C206" s="86"/>
      <c r="D206" s="86"/>
      <c r="E206" s="86"/>
      <c r="F206" s="86"/>
      <c r="G206" s="49"/>
      <c r="H206" s="49"/>
      <c r="I206" s="49"/>
      <c r="J206" s="49"/>
      <c r="K206" s="48"/>
      <c r="L206" s="48"/>
      <c r="M206" s="48"/>
      <c r="N206" s="48"/>
      <c r="O206" s="48"/>
    </row>
    <row r="207" spans="1:15" hidden="1" x14ac:dyDescent="0.25">
      <c r="A207" s="2" t="s">
        <v>100</v>
      </c>
      <c r="B207" s="86"/>
      <c r="C207" s="86"/>
      <c r="D207" s="86"/>
      <c r="E207" s="86"/>
      <c r="F207" s="86"/>
      <c r="G207" s="49"/>
      <c r="H207" s="49"/>
      <c r="I207" s="49"/>
    </row>
    <row r="208" spans="1:15" hidden="1" x14ac:dyDescent="0.25">
      <c r="A208" s="2" t="s">
        <v>66</v>
      </c>
      <c r="B208" s="86"/>
      <c r="C208" s="86"/>
      <c r="D208" s="86"/>
      <c r="E208" s="86"/>
      <c r="F208" s="86"/>
      <c r="G208" s="49"/>
      <c r="H208" s="49"/>
      <c r="I208" s="49"/>
    </row>
    <row r="209" spans="1:15" hidden="1" x14ac:dyDescent="0.25">
      <c r="A209" s="2" t="s">
        <v>166</v>
      </c>
      <c r="B209" s="86"/>
      <c r="C209" s="86"/>
      <c r="D209" s="86"/>
      <c r="E209" s="86"/>
      <c r="F209" s="86"/>
      <c r="G209" s="49"/>
      <c r="H209" s="49"/>
      <c r="I209" s="49"/>
    </row>
    <row r="210" spans="1:15" hidden="1" x14ac:dyDescent="0.25">
      <c r="A210" s="2" t="s">
        <v>48</v>
      </c>
      <c r="B210" s="86"/>
      <c r="C210" s="86"/>
      <c r="D210" s="86"/>
      <c r="E210" s="2"/>
      <c r="F210" s="2"/>
      <c r="G210" s="49"/>
      <c r="H210" s="49"/>
      <c r="I210" s="49"/>
    </row>
    <row r="211" spans="1:15" hidden="1" x14ac:dyDescent="0.25">
      <c r="A211" s="2" t="s">
        <v>169</v>
      </c>
      <c r="B211" s="86"/>
      <c r="C211" s="86"/>
      <c r="D211" s="86"/>
      <c r="E211" s="86"/>
      <c r="F211" s="86"/>
      <c r="G211" s="49"/>
      <c r="H211" s="49"/>
      <c r="I211" s="49"/>
      <c r="J211" s="49"/>
      <c r="K211" s="48"/>
      <c r="L211" s="48"/>
      <c r="M211" s="48"/>
      <c r="N211" s="48"/>
      <c r="O211" s="48"/>
    </row>
    <row r="212" spans="1:15" hidden="1" x14ac:dyDescent="0.25">
      <c r="A212" s="2" t="s">
        <v>170</v>
      </c>
      <c r="B212" s="86"/>
      <c r="C212" s="86"/>
      <c r="D212" s="86"/>
      <c r="E212" s="86"/>
      <c r="F212" s="86"/>
      <c r="G212" s="49"/>
      <c r="H212" s="49"/>
      <c r="I212" s="49"/>
      <c r="J212" s="49"/>
      <c r="K212" s="48"/>
      <c r="L212" s="48"/>
      <c r="M212" s="48"/>
      <c r="N212" s="48"/>
      <c r="O212" s="48"/>
    </row>
    <row r="213" spans="1:15" hidden="1" x14ac:dyDescent="0.25">
      <c r="A213" s="2" t="s">
        <v>171</v>
      </c>
      <c r="B213" s="86"/>
      <c r="C213" s="86"/>
      <c r="D213" s="86"/>
      <c r="E213" s="86"/>
      <c r="F213" s="86"/>
      <c r="G213" s="49"/>
      <c r="H213" s="49"/>
      <c r="I213" s="49"/>
      <c r="J213" s="49"/>
      <c r="K213" s="48"/>
      <c r="L213" s="48"/>
      <c r="M213" s="48"/>
      <c r="N213" s="48"/>
      <c r="O213" s="48"/>
    </row>
    <row r="214" spans="1:15" hidden="1" x14ac:dyDescent="0.25">
      <c r="A214" s="2" t="s">
        <v>45</v>
      </c>
      <c r="B214" s="86"/>
      <c r="C214" s="86"/>
      <c r="D214" s="86"/>
      <c r="E214" s="86"/>
      <c r="F214" s="86"/>
      <c r="G214" s="49"/>
      <c r="H214" s="49"/>
      <c r="I214" s="49"/>
      <c r="J214" s="49"/>
      <c r="K214" s="48"/>
      <c r="L214" s="48"/>
      <c r="M214" s="48"/>
      <c r="N214" s="48"/>
      <c r="O214" s="48"/>
    </row>
    <row r="215" spans="1:15" hidden="1" x14ac:dyDescent="0.25">
      <c r="A215" s="2" t="s">
        <v>56</v>
      </c>
      <c r="B215" s="86"/>
      <c r="C215" s="86"/>
      <c r="D215" s="86"/>
      <c r="E215" s="86"/>
      <c r="F215" s="86"/>
      <c r="G215" s="49"/>
      <c r="H215" s="49"/>
      <c r="I215" s="49"/>
      <c r="J215" s="49"/>
      <c r="K215" s="48"/>
      <c r="L215" s="48"/>
      <c r="M215" s="48"/>
      <c r="N215" s="48"/>
      <c r="O215" s="48"/>
    </row>
    <row r="216" spans="1:15" hidden="1" x14ac:dyDescent="0.25">
      <c r="A216" s="2" t="s">
        <v>53</v>
      </c>
      <c r="B216" s="86"/>
      <c r="C216" s="86"/>
      <c r="D216" s="86"/>
      <c r="E216" s="86"/>
      <c r="F216" s="86"/>
      <c r="G216" s="64"/>
      <c r="H216" s="64"/>
      <c r="I216" s="64"/>
      <c r="J216" s="49"/>
      <c r="K216" s="48"/>
      <c r="L216" s="48"/>
      <c r="M216" s="48"/>
      <c r="N216" s="48"/>
      <c r="O216" s="48"/>
    </row>
    <row r="217" spans="1:15" hidden="1" x14ac:dyDescent="0.25">
      <c r="A217" s="2" t="s">
        <v>79</v>
      </c>
      <c r="B217" s="86"/>
      <c r="C217" s="86"/>
      <c r="D217" s="86"/>
      <c r="E217" s="86"/>
      <c r="F217" s="86"/>
      <c r="G217" s="49"/>
      <c r="H217" s="49"/>
      <c r="I217" s="49"/>
      <c r="J217" s="49"/>
      <c r="K217" s="48"/>
      <c r="L217" s="48"/>
      <c r="M217" s="48"/>
      <c r="N217" s="48"/>
      <c r="O217" s="48"/>
    </row>
    <row r="218" spans="1:15" s="1" customFormat="1" hidden="1" x14ac:dyDescent="0.25">
      <c r="A218" s="2" t="s">
        <v>110</v>
      </c>
      <c r="B218" s="86"/>
      <c r="C218" s="86"/>
      <c r="D218" s="86"/>
      <c r="E218" s="86"/>
      <c r="F218" s="86"/>
      <c r="G218" s="49"/>
      <c r="H218" s="49"/>
      <c r="I218" s="49"/>
      <c r="J218" s="49"/>
      <c r="K218" s="48"/>
      <c r="L218" s="48"/>
      <c r="M218" s="48"/>
      <c r="N218" s="48"/>
      <c r="O218" s="48"/>
    </row>
    <row r="219" spans="1:15" hidden="1" x14ac:dyDescent="0.25">
      <c r="A219" s="2" t="s">
        <v>85</v>
      </c>
      <c r="B219" s="86"/>
      <c r="C219" s="86"/>
      <c r="D219" s="86"/>
      <c r="E219" s="86"/>
      <c r="F219" s="86"/>
      <c r="G219" s="49"/>
      <c r="H219" s="49"/>
      <c r="I219" s="49"/>
      <c r="J219" s="49"/>
      <c r="K219" s="48"/>
      <c r="L219" s="48"/>
      <c r="M219" s="48"/>
      <c r="N219" s="48"/>
      <c r="O219" s="48"/>
    </row>
    <row r="220" spans="1:15" hidden="1" x14ac:dyDescent="0.25">
      <c r="A220" s="10" t="s">
        <v>14</v>
      </c>
      <c r="B220" s="86"/>
      <c r="C220" s="86"/>
      <c r="D220" s="86"/>
      <c r="E220" s="86"/>
      <c r="F220" s="86"/>
      <c r="G220" s="49"/>
      <c r="H220" s="49"/>
      <c r="I220" s="49"/>
    </row>
    <row r="221" spans="1:15" hidden="1" x14ac:dyDescent="0.25">
      <c r="A221" s="2" t="s">
        <v>38</v>
      </c>
      <c r="B221" s="86"/>
      <c r="C221" s="86"/>
      <c r="D221" s="86"/>
      <c r="E221" s="86"/>
      <c r="F221" s="86"/>
      <c r="G221" s="49"/>
      <c r="H221" s="49"/>
      <c r="I221" s="49"/>
    </row>
    <row r="222" spans="1:15" hidden="1" x14ac:dyDescent="0.25">
      <c r="A222" s="2" t="s">
        <v>63</v>
      </c>
      <c r="B222" s="86"/>
      <c r="C222" s="86"/>
      <c r="D222" s="86"/>
      <c r="E222" s="86"/>
      <c r="F222" s="86"/>
      <c r="G222" s="49"/>
      <c r="H222" s="49"/>
      <c r="I222" s="49"/>
    </row>
    <row r="223" spans="1:15" hidden="1" x14ac:dyDescent="0.25">
      <c r="A223" s="2" t="s">
        <v>77</v>
      </c>
      <c r="B223" s="86"/>
      <c r="C223" s="86"/>
      <c r="D223" s="86"/>
      <c r="E223" s="86"/>
      <c r="F223" s="86"/>
      <c r="G223" s="49"/>
      <c r="H223" s="49"/>
      <c r="I223" s="49"/>
    </row>
    <row r="224" spans="1:15" hidden="1" x14ac:dyDescent="0.25">
      <c r="A224" s="10" t="s">
        <v>102</v>
      </c>
      <c r="B224" s="86"/>
      <c r="C224" s="86"/>
      <c r="D224" s="86"/>
      <c r="E224" s="86"/>
      <c r="F224" s="86"/>
      <c r="G224" s="49"/>
      <c r="H224" s="49"/>
      <c r="I224" s="49"/>
    </row>
    <row r="225" spans="1:9" hidden="1" x14ac:dyDescent="0.25">
      <c r="A225" s="10" t="s">
        <v>11</v>
      </c>
      <c r="B225" s="86"/>
      <c r="C225" s="86"/>
      <c r="D225" s="86"/>
      <c r="E225" s="86"/>
      <c r="F225" s="86"/>
      <c r="G225" s="49"/>
      <c r="H225" s="49"/>
      <c r="I225" s="49"/>
    </row>
    <row r="226" spans="1:9" hidden="1" x14ac:dyDescent="0.25">
      <c r="A226" s="10" t="s">
        <v>95</v>
      </c>
      <c r="B226" s="86"/>
      <c r="C226" s="86"/>
      <c r="D226" s="86"/>
      <c r="E226" s="86"/>
      <c r="F226" s="86"/>
      <c r="G226" s="49"/>
      <c r="H226" s="49"/>
      <c r="I226" s="49"/>
    </row>
    <row r="227" spans="1:9" hidden="1" x14ac:dyDescent="0.25">
      <c r="A227" s="2" t="s">
        <v>92</v>
      </c>
      <c r="B227" s="86"/>
      <c r="C227" s="86"/>
      <c r="D227" s="86"/>
      <c r="E227" s="86"/>
      <c r="F227" s="86"/>
      <c r="G227" s="49"/>
      <c r="H227" s="49"/>
      <c r="I227" s="49"/>
    </row>
    <row r="228" spans="1:9" hidden="1" x14ac:dyDescent="0.25">
      <c r="A228" s="2" t="s">
        <v>89</v>
      </c>
      <c r="B228" s="86"/>
      <c r="C228" s="86"/>
      <c r="D228" s="86"/>
      <c r="E228" s="86"/>
      <c r="F228" s="86"/>
      <c r="G228" s="49"/>
      <c r="H228" s="49"/>
      <c r="I228" s="49"/>
    </row>
    <row r="229" spans="1:9" hidden="1" x14ac:dyDescent="0.25">
      <c r="A229" s="2" t="s">
        <v>90</v>
      </c>
      <c r="B229" s="86"/>
      <c r="C229" s="86"/>
      <c r="D229" s="86"/>
      <c r="E229" s="86"/>
      <c r="F229" s="86"/>
      <c r="G229" s="49"/>
      <c r="H229" s="49"/>
      <c r="I229" s="49"/>
    </row>
    <row r="230" spans="1:9" hidden="1" x14ac:dyDescent="0.25">
      <c r="A230" s="2" t="s">
        <v>87</v>
      </c>
      <c r="B230" s="86"/>
      <c r="C230" s="86"/>
      <c r="D230" s="86"/>
      <c r="E230" s="86"/>
      <c r="F230" s="86"/>
      <c r="G230" s="49"/>
      <c r="H230" s="49"/>
      <c r="I230" s="49"/>
    </row>
    <row r="231" spans="1:9" hidden="1" x14ac:dyDescent="0.25">
      <c r="A231" s="2" t="s">
        <v>83</v>
      </c>
      <c r="B231" s="86"/>
      <c r="C231" s="86"/>
      <c r="D231" s="86"/>
      <c r="E231" s="86"/>
      <c r="F231" s="86"/>
      <c r="G231" s="49"/>
      <c r="H231" s="49"/>
      <c r="I231" s="49"/>
    </row>
    <row r="232" spans="1:9" hidden="1" x14ac:dyDescent="0.25">
      <c r="A232" s="2" t="s">
        <v>46</v>
      </c>
      <c r="B232" s="86"/>
      <c r="C232" s="86"/>
      <c r="D232" s="86"/>
      <c r="E232" s="86"/>
      <c r="F232" s="86"/>
      <c r="G232" s="49"/>
      <c r="H232" s="49"/>
      <c r="I232" s="49"/>
    </row>
    <row r="233" spans="1:9" hidden="1" x14ac:dyDescent="0.25">
      <c r="A233" s="2" t="s">
        <v>58</v>
      </c>
      <c r="B233" s="86"/>
      <c r="C233" s="86"/>
      <c r="D233" s="86"/>
      <c r="E233" s="86"/>
      <c r="F233" s="86"/>
      <c r="G233" s="49"/>
      <c r="H233" s="49"/>
      <c r="I233" s="49"/>
    </row>
    <row r="234" spans="1:9" hidden="1" x14ac:dyDescent="0.25">
      <c r="A234" s="2" t="s">
        <v>78</v>
      </c>
      <c r="B234" s="86"/>
      <c r="C234" s="86"/>
      <c r="D234" s="86"/>
      <c r="E234" s="86"/>
      <c r="F234" s="86"/>
      <c r="G234" s="49"/>
      <c r="H234" s="49"/>
      <c r="I234" s="49"/>
    </row>
    <row r="235" spans="1:9" hidden="1" x14ac:dyDescent="0.25">
      <c r="A235" s="2" t="s">
        <v>37</v>
      </c>
      <c r="B235" s="86"/>
      <c r="C235" s="86"/>
      <c r="D235" s="86"/>
      <c r="E235" s="86"/>
      <c r="F235" s="86"/>
      <c r="G235" s="49"/>
      <c r="H235" s="49"/>
      <c r="I235" s="49"/>
    </row>
    <row r="236" spans="1:9" hidden="1" x14ac:dyDescent="0.25">
      <c r="A236" s="2" t="s">
        <v>75</v>
      </c>
      <c r="B236" s="86"/>
      <c r="C236" s="86"/>
      <c r="D236" s="86"/>
      <c r="E236" s="86"/>
      <c r="F236" s="86"/>
      <c r="G236" s="49"/>
      <c r="H236" s="49"/>
      <c r="I236" s="49"/>
    </row>
    <row r="237" spans="1:9" hidden="1" x14ac:dyDescent="0.25">
      <c r="A237" s="2" t="s">
        <v>18</v>
      </c>
      <c r="B237" s="86"/>
      <c r="C237" s="86"/>
      <c r="D237" s="86"/>
      <c r="E237" s="86"/>
      <c r="F237" s="86"/>
      <c r="G237" s="49"/>
      <c r="H237" s="49"/>
      <c r="I237" s="49"/>
    </row>
    <row r="238" spans="1:9" hidden="1" x14ac:dyDescent="0.25">
      <c r="A238" s="2" t="s">
        <v>51</v>
      </c>
      <c r="B238" s="86"/>
      <c r="C238" s="86"/>
      <c r="D238" s="86"/>
      <c r="E238" s="86"/>
      <c r="F238" s="86"/>
      <c r="G238" s="49"/>
      <c r="H238" s="49"/>
      <c r="I238" s="49"/>
    </row>
    <row r="239" spans="1:9" hidden="1" x14ac:dyDescent="0.25">
      <c r="A239" s="2" t="s">
        <v>72</v>
      </c>
      <c r="B239" s="86"/>
      <c r="C239" s="86"/>
      <c r="D239" s="86"/>
      <c r="E239" s="86"/>
      <c r="F239" s="86"/>
      <c r="G239" s="49"/>
      <c r="H239" s="49"/>
      <c r="I239" s="49"/>
    </row>
    <row r="240" spans="1:9" hidden="1" x14ac:dyDescent="0.25">
      <c r="A240" s="2" t="s">
        <v>69</v>
      </c>
      <c r="B240" s="86"/>
      <c r="C240" s="86"/>
      <c r="D240" s="86"/>
      <c r="E240" s="86"/>
      <c r="F240" s="86"/>
      <c r="G240" s="49"/>
      <c r="H240" s="49"/>
      <c r="I240" s="49"/>
    </row>
    <row r="241" spans="1:9" hidden="1" x14ac:dyDescent="0.25">
      <c r="A241" s="2" t="s">
        <v>67</v>
      </c>
      <c r="B241" s="86"/>
      <c r="C241" s="86"/>
      <c r="D241" s="86"/>
      <c r="E241" s="86"/>
      <c r="F241" s="86"/>
      <c r="G241" s="49"/>
      <c r="H241" s="49"/>
      <c r="I241" s="49"/>
    </row>
    <row r="242" spans="1:9" hidden="1" x14ac:dyDescent="0.25">
      <c r="A242" s="2" t="s">
        <v>70</v>
      </c>
      <c r="B242" s="86"/>
      <c r="C242" s="86"/>
      <c r="D242" s="86"/>
      <c r="E242" s="86"/>
      <c r="F242" s="86"/>
      <c r="G242" s="49"/>
      <c r="H242" s="49"/>
      <c r="I242" s="49"/>
    </row>
    <row r="243" spans="1:9" hidden="1" x14ac:dyDescent="0.25">
      <c r="A243" s="10" t="s">
        <v>65</v>
      </c>
      <c r="B243" s="86"/>
      <c r="C243" s="86"/>
      <c r="D243" s="86"/>
      <c r="E243" s="86"/>
      <c r="F243" s="86"/>
      <c r="G243" s="49"/>
      <c r="H243" s="49"/>
      <c r="I243" s="49"/>
    </row>
    <row r="244" spans="1:9" hidden="1" x14ac:dyDescent="0.25">
      <c r="A244" s="2" t="s">
        <v>47</v>
      </c>
      <c r="B244" s="86"/>
      <c r="C244" s="86"/>
      <c r="D244" s="86"/>
      <c r="E244" s="86"/>
      <c r="F244" s="86"/>
      <c r="G244" s="49"/>
      <c r="H244" s="49"/>
      <c r="I244" s="49"/>
    </row>
    <row r="245" spans="1:9" hidden="1" x14ac:dyDescent="0.25">
      <c r="A245" s="2" t="s">
        <v>64</v>
      </c>
      <c r="B245" s="86"/>
      <c r="C245" s="86"/>
      <c r="D245" s="86"/>
      <c r="E245" s="86"/>
      <c r="F245" s="86"/>
      <c r="G245" s="49"/>
      <c r="H245" s="49"/>
      <c r="I245" s="49"/>
    </row>
    <row r="246" spans="1:9" hidden="1" x14ac:dyDescent="0.25">
      <c r="A246" s="9" t="s">
        <v>27</v>
      </c>
      <c r="B246" s="86"/>
      <c r="C246" s="86"/>
      <c r="D246" s="86"/>
      <c r="E246" s="86"/>
      <c r="F246" s="86"/>
      <c r="G246" s="49"/>
      <c r="H246" s="49"/>
      <c r="I246" s="49"/>
    </row>
    <row r="247" spans="1:9" hidden="1" x14ac:dyDescent="0.25">
      <c r="A247" s="2" t="s">
        <v>19</v>
      </c>
      <c r="B247" s="86"/>
      <c r="C247" s="86"/>
      <c r="D247" s="86"/>
      <c r="E247" s="86"/>
      <c r="F247" s="86"/>
      <c r="G247" s="49"/>
      <c r="H247" s="49"/>
      <c r="I247" s="49"/>
    </row>
    <row r="248" spans="1:9" hidden="1" x14ac:dyDescent="0.25">
      <c r="A248" s="2" t="s">
        <v>31</v>
      </c>
      <c r="B248" s="86"/>
      <c r="C248" s="86"/>
      <c r="D248" s="86"/>
      <c r="E248" s="86"/>
      <c r="F248" s="86"/>
      <c r="G248" s="49"/>
      <c r="H248" s="49"/>
      <c r="I248" s="49"/>
    </row>
    <row r="249" spans="1:9" hidden="1" x14ac:dyDescent="0.25">
      <c r="A249" s="2" t="s">
        <v>49</v>
      </c>
      <c r="B249" s="86"/>
      <c r="C249" s="86"/>
      <c r="D249" s="86"/>
      <c r="E249" s="86"/>
      <c r="F249" s="86"/>
      <c r="G249" s="49"/>
      <c r="H249" s="49"/>
      <c r="I249" s="49"/>
    </row>
    <row r="250" spans="1:9" hidden="1" x14ac:dyDescent="0.25">
      <c r="A250" s="2" t="s">
        <v>50</v>
      </c>
      <c r="B250" s="86"/>
      <c r="C250" s="86"/>
      <c r="D250" s="86"/>
      <c r="E250" s="86"/>
      <c r="F250" s="86"/>
      <c r="G250" s="49"/>
      <c r="H250" s="49"/>
      <c r="I250" s="49"/>
    </row>
    <row r="251" spans="1:9" hidden="1" x14ac:dyDescent="0.25">
      <c r="A251" s="2" t="s">
        <v>55</v>
      </c>
      <c r="B251" s="86"/>
      <c r="C251" s="86"/>
      <c r="D251" s="86"/>
      <c r="E251" s="86"/>
      <c r="F251" s="86"/>
      <c r="G251" s="49"/>
      <c r="H251" s="49"/>
      <c r="I251" s="49"/>
    </row>
    <row r="252" spans="1:9" hidden="1" x14ac:dyDescent="0.25">
      <c r="A252" s="2" t="s">
        <v>57</v>
      </c>
      <c r="B252" s="86"/>
      <c r="C252" s="86"/>
      <c r="D252" s="86"/>
      <c r="E252" s="86"/>
      <c r="F252" s="86"/>
      <c r="G252" s="49"/>
      <c r="H252" s="49"/>
      <c r="I252" s="49"/>
    </row>
    <row r="253" spans="1:9" hidden="1" x14ac:dyDescent="0.25">
      <c r="A253" s="2" t="s">
        <v>60</v>
      </c>
      <c r="B253" s="86"/>
      <c r="C253" s="86"/>
      <c r="D253" s="86"/>
      <c r="E253" s="86"/>
      <c r="F253" s="86"/>
      <c r="G253" s="49"/>
      <c r="H253" s="49"/>
      <c r="I253" s="49"/>
    </row>
    <row r="254" spans="1:9" hidden="1" x14ac:dyDescent="0.25">
      <c r="A254" s="2"/>
      <c r="B254" s="86"/>
      <c r="C254" s="86"/>
      <c r="D254" s="86"/>
      <c r="E254" s="86"/>
      <c r="F254" s="86"/>
      <c r="G254" s="49"/>
      <c r="H254" s="49"/>
      <c r="I254" s="49"/>
    </row>
    <row r="255" spans="1:9" hidden="1" x14ac:dyDescent="0.25">
      <c r="A255" s="2" t="s">
        <v>61</v>
      </c>
      <c r="B255" s="86"/>
      <c r="C255" s="86"/>
      <c r="D255" s="86"/>
      <c r="E255" s="86"/>
      <c r="F255" s="86"/>
      <c r="G255" s="49"/>
      <c r="H255" s="49"/>
      <c r="I255" s="49"/>
    </row>
    <row r="256" spans="1:9" x14ac:dyDescent="0.25">
      <c r="A256" s="2"/>
      <c r="B256" s="14"/>
      <c r="C256" s="14"/>
      <c r="D256" s="14"/>
      <c r="E256" s="14"/>
      <c r="F256" s="14"/>
      <c r="G256" s="63"/>
      <c r="H256" s="63"/>
      <c r="I256" s="63"/>
    </row>
    <row r="257" spans="1:15" ht="15.75" thickBot="1" x14ac:dyDescent="0.3">
      <c r="A257" s="7" t="s">
        <v>16</v>
      </c>
      <c r="B257" s="8">
        <f>SUM(B142:B256)</f>
        <v>82.774760000000001</v>
      </c>
      <c r="C257" s="8">
        <f>SUM(C142:C256)</f>
        <v>936.03129000000013</v>
      </c>
      <c r="D257" s="8">
        <f>SUM(D142:D256)</f>
        <v>122.36254</v>
      </c>
      <c r="E257" s="8">
        <f>SUM(E142:E256)</f>
        <v>735.14499999999998</v>
      </c>
      <c r="F257" s="8">
        <f>SUM(F142:F256)</f>
        <v>119.17336</v>
      </c>
      <c r="G257" s="49"/>
      <c r="H257" s="49"/>
      <c r="I257" s="49"/>
    </row>
    <row r="258" spans="1:15" ht="15.75" thickBot="1" x14ac:dyDescent="0.3">
      <c r="A258" s="2"/>
      <c r="B258" s="2"/>
      <c r="C258" s="2"/>
      <c r="D258" s="2"/>
      <c r="E258" s="2"/>
      <c r="F258" s="2"/>
      <c r="G258" s="1"/>
      <c r="J258" s="21" t="s">
        <v>116</v>
      </c>
      <c r="K258" s="23" t="s">
        <v>115</v>
      </c>
      <c r="L258" s="23">
        <v>2016</v>
      </c>
      <c r="M258" s="22">
        <v>2017</v>
      </c>
      <c r="N258" s="28" t="s">
        <v>154</v>
      </c>
      <c r="O258" s="29" t="s">
        <v>153</v>
      </c>
    </row>
    <row r="259" spans="1:15" x14ac:dyDescent="0.25">
      <c r="A259" s="11" t="s">
        <v>200</v>
      </c>
      <c r="B259" s="12">
        <f>B121+B140-B257</f>
        <v>2661.9712400000003</v>
      </c>
      <c r="C259" s="12">
        <f>C121+C140-C257</f>
        <v>1777.8089500000003</v>
      </c>
      <c r="D259" s="12">
        <f>D121+D140-D257</f>
        <v>1715.1964100000002</v>
      </c>
      <c r="E259" s="12">
        <f>E121+E140-E257</f>
        <v>1442.0090600000003</v>
      </c>
      <c r="F259" s="12">
        <f>F121+F140-F257</f>
        <v>1509.6237000000003</v>
      </c>
      <c r="J259" s="19" t="s">
        <v>113</v>
      </c>
      <c r="K259" s="24"/>
      <c r="L259" s="24" t="e">
        <f>E168+#REF!</f>
        <v>#REF!</v>
      </c>
      <c r="M259" s="25" t="e">
        <f>SUM(B142:E167)+#REF!+SUM(B169:E186)</f>
        <v>#REF!</v>
      </c>
      <c r="N259" s="24"/>
      <c r="O259" s="24"/>
    </row>
    <row r="260" spans="1:15" ht="15.75" thickBot="1" x14ac:dyDescent="0.3">
      <c r="A260" s="4" t="s">
        <v>201</v>
      </c>
      <c r="B260" s="5">
        <f>B259/0.0042</f>
        <v>633802.67619047628</v>
      </c>
      <c r="C260" s="5">
        <f>C259/0.0042</f>
        <v>423287.84523809532</v>
      </c>
      <c r="D260" s="5">
        <f>D259/0.0042</f>
        <v>408380.09761904768</v>
      </c>
      <c r="E260" s="5">
        <f>E259/0.0042</f>
        <v>343335.49047619058</v>
      </c>
      <c r="F260" s="5">
        <f>F259/0.0042</f>
        <v>359434.21428571438</v>
      </c>
      <c r="J260" s="20" t="s">
        <v>114</v>
      </c>
      <c r="K260" s="26">
        <f>K259/4</f>
        <v>0</v>
      </c>
      <c r="L260" s="26" t="e">
        <f>L259/4</f>
        <v>#REF!</v>
      </c>
      <c r="M260" s="27" t="e">
        <f>M259/4</f>
        <v>#REF!</v>
      </c>
      <c r="N260" s="26" t="e">
        <f>SUM(K260:M260)</f>
        <v>#REF!</v>
      </c>
      <c r="O260" s="26" t="e">
        <f>SUM(L260:M260)</f>
        <v>#REF!</v>
      </c>
    </row>
    <row r="262" spans="1:15" x14ac:dyDescent="0.25">
      <c r="C262" s="92"/>
      <c r="E262" s="92"/>
      <c r="F262" s="92"/>
    </row>
  </sheetData>
  <mergeCells count="1">
    <mergeCell ref="B6:D6"/>
  </mergeCells>
  <pageMargins left="0.35433070866141736" right="0.27559055118110237" top="0.74803149606299213" bottom="0.74803149606299213" header="0.31496062992125984" footer="0.31496062992125984"/>
  <pageSetup paperSize="9" scale="67" orientation="portrait" horizontalDpi="4294967293" verticalDpi="4294967293" r:id="rId1"/>
  <rowBreaks count="1" manualBreakCount="1">
    <brk id="117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61"/>
  <sheetViews>
    <sheetView workbookViewId="0">
      <pane xSplit="1" ySplit="3" topLeftCell="B119" activePane="bottomRight" state="frozen"/>
      <selection pane="topRight" activeCell="B1" sqref="B1"/>
      <selection pane="bottomLeft" activeCell="A4" sqref="A4"/>
      <selection pane="bottomRight" activeCell="B161" sqref="B161"/>
    </sheetView>
  </sheetViews>
  <sheetFormatPr defaultRowHeight="15" outlineLevelRow="1" x14ac:dyDescent="0.25"/>
  <cols>
    <col min="1" max="1" width="52" bestFit="1" customWidth="1"/>
    <col min="2" max="2" width="11.42578125" bestFit="1" customWidth="1"/>
    <col min="3" max="3" width="14" bestFit="1" customWidth="1"/>
    <col min="4" max="4" width="9.7109375" customWidth="1"/>
    <col min="5" max="5" width="10.5703125" customWidth="1"/>
    <col min="6" max="6" width="10.5703125" hidden="1" customWidth="1"/>
    <col min="7" max="7" width="4" bestFit="1" customWidth="1"/>
    <col min="9" max="9" width="10.140625" customWidth="1"/>
    <col min="11" max="11" width="22.7109375" bestFit="1" customWidth="1"/>
    <col min="12" max="12" width="10.85546875" customWidth="1"/>
    <col min="13" max="13" width="14" bestFit="1" customWidth="1"/>
    <col min="14" max="14" width="19" bestFit="1" customWidth="1"/>
    <col min="15" max="15" width="20.42578125" bestFit="1" customWidth="1"/>
  </cols>
  <sheetData>
    <row r="1" spans="1:16" x14ac:dyDescent="0.25">
      <c r="J1" s="48"/>
      <c r="K1" s="48"/>
      <c r="L1" s="48"/>
      <c r="M1" s="48"/>
      <c r="N1" s="48"/>
      <c r="O1" s="48"/>
    </row>
    <row r="2" spans="1:16" x14ac:dyDescent="0.25">
      <c r="J2" s="48"/>
      <c r="K2" s="48"/>
      <c r="L2" s="48"/>
      <c r="M2" s="48"/>
      <c r="N2" s="48"/>
      <c r="O2" s="48"/>
    </row>
    <row r="3" spans="1:16" s="1" customFormat="1" x14ac:dyDescent="0.25">
      <c r="J3" s="49"/>
      <c r="K3" s="49"/>
      <c r="L3" s="49"/>
      <c r="M3" s="49"/>
      <c r="N3" s="49"/>
      <c r="O3" s="49"/>
    </row>
    <row r="4" spans="1:16" s="1" customFormat="1" hidden="1" x14ac:dyDescent="0.25">
      <c r="A4" s="46" t="s">
        <v>139</v>
      </c>
      <c r="B4" s="47">
        <v>4.2</v>
      </c>
      <c r="C4" s="49"/>
      <c r="D4" s="49"/>
      <c r="J4" s="49"/>
      <c r="O4" s="49"/>
    </row>
    <row r="5" spans="1:16" hidden="1" x14ac:dyDescent="0.25">
      <c r="A5" s="48"/>
      <c r="B5" s="48"/>
      <c r="C5" s="48"/>
      <c r="D5" s="48"/>
      <c r="J5" s="49"/>
      <c r="O5" s="48"/>
      <c r="P5" s="48"/>
    </row>
    <row r="6" spans="1:16" ht="15.75" hidden="1" x14ac:dyDescent="0.25">
      <c r="A6" s="30" t="s">
        <v>118</v>
      </c>
      <c r="B6" s="150" t="s">
        <v>213</v>
      </c>
      <c r="C6" s="150"/>
      <c r="D6" s="150"/>
      <c r="J6" s="49"/>
      <c r="O6" s="48"/>
    </row>
    <row r="7" spans="1:16" ht="16.5" hidden="1" thickBot="1" x14ac:dyDescent="0.3">
      <c r="A7" s="30" t="s">
        <v>144</v>
      </c>
      <c r="B7" s="50" t="s">
        <v>140</v>
      </c>
      <c r="C7" s="50" t="s">
        <v>141</v>
      </c>
      <c r="D7" s="51" t="s">
        <v>142</v>
      </c>
      <c r="H7" s="97"/>
      <c r="I7" s="97"/>
      <c r="J7" s="49"/>
      <c r="O7" s="48"/>
    </row>
    <row r="8" spans="1:16" hidden="1" x14ac:dyDescent="0.25">
      <c r="A8" s="31" t="s">
        <v>119</v>
      </c>
      <c r="B8" s="38"/>
      <c r="C8" s="48"/>
      <c r="D8" s="48"/>
      <c r="J8" s="49"/>
      <c r="O8" s="48"/>
    </row>
    <row r="9" spans="1:16" hidden="1" x14ac:dyDescent="0.25">
      <c r="A9" s="32" t="s">
        <v>120</v>
      </c>
      <c r="B9" s="39">
        <f>84.5*B4</f>
        <v>354.90000000000003</v>
      </c>
      <c r="C9" s="39" t="e">
        <f>C10+C11+C12</f>
        <v>#REF!</v>
      </c>
      <c r="D9" s="39" t="e">
        <f>C9-B9</f>
        <v>#REF!</v>
      </c>
      <c r="H9" s="95"/>
      <c r="I9" s="95"/>
      <c r="J9" s="98"/>
      <c r="O9" s="48"/>
    </row>
    <row r="10" spans="1:16" hidden="1" x14ac:dyDescent="0.25">
      <c r="A10" s="79" t="s">
        <v>2</v>
      </c>
      <c r="B10" s="80"/>
      <c r="C10" s="80">
        <f>B123+C123</f>
        <v>0</v>
      </c>
      <c r="D10" s="80"/>
      <c r="J10" s="98"/>
      <c r="O10" s="48"/>
    </row>
    <row r="11" spans="1:16" hidden="1" x14ac:dyDescent="0.25">
      <c r="A11" s="79" t="s">
        <v>74</v>
      </c>
      <c r="B11" s="80"/>
      <c r="C11" s="80" t="e">
        <f>#REF!</f>
        <v>#REF!</v>
      </c>
      <c r="D11" s="80"/>
      <c r="J11" s="98"/>
      <c r="O11" s="48"/>
    </row>
    <row r="12" spans="1:16" hidden="1" x14ac:dyDescent="0.25">
      <c r="A12" s="79" t="s">
        <v>214</v>
      </c>
      <c r="B12" s="80"/>
      <c r="C12" s="80">
        <f>SUM(B133:E133)</f>
        <v>467.85663999999997</v>
      </c>
      <c r="D12" s="80"/>
      <c r="J12" s="98"/>
      <c r="O12" s="48"/>
    </row>
    <row r="13" spans="1:16" hidden="1" x14ac:dyDescent="0.25">
      <c r="A13" s="33"/>
      <c r="B13" s="40"/>
      <c r="C13" s="40"/>
      <c r="D13" s="40"/>
      <c r="J13" s="98"/>
      <c r="O13" s="48"/>
    </row>
    <row r="14" spans="1:16" hidden="1" x14ac:dyDescent="0.25">
      <c r="A14" s="33" t="s">
        <v>121</v>
      </c>
      <c r="B14" s="40">
        <v>0</v>
      </c>
      <c r="C14" s="40">
        <f>SUM(C15:C17)</f>
        <v>0</v>
      </c>
      <c r="D14" s="40">
        <f>C14-B14</f>
        <v>0</v>
      </c>
      <c r="H14" s="95"/>
      <c r="I14" s="95"/>
      <c r="J14" s="98"/>
      <c r="O14" s="48"/>
    </row>
    <row r="15" spans="1:16" hidden="1" outlineLevel="1" x14ac:dyDescent="0.25">
      <c r="A15" s="81" t="s">
        <v>8</v>
      </c>
      <c r="B15" s="40"/>
      <c r="C15" s="82">
        <f>-D201-E201</f>
        <v>0</v>
      </c>
      <c r="D15" s="40"/>
      <c r="J15" s="98"/>
      <c r="O15" s="48"/>
    </row>
    <row r="16" spans="1:16" hidden="1" outlineLevel="1" x14ac:dyDescent="0.25">
      <c r="A16" s="81" t="s">
        <v>22</v>
      </c>
      <c r="B16" s="40"/>
      <c r="C16" s="82">
        <f>B187</f>
        <v>0</v>
      </c>
      <c r="D16" s="40"/>
      <c r="J16" s="98"/>
      <c r="O16" s="48"/>
    </row>
    <row r="17" spans="1:15" hidden="1" outlineLevel="1" x14ac:dyDescent="0.25">
      <c r="A17" s="81" t="s">
        <v>79</v>
      </c>
      <c r="B17" s="40"/>
      <c r="C17" s="82"/>
      <c r="D17" s="40"/>
      <c r="J17" s="98"/>
      <c r="O17" s="48"/>
    </row>
    <row r="18" spans="1:15" hidden="1" x14ac:dyDescent="0.25">
      <c r="A18" s="33"/>
      <c r="B18" s="40"/>
      <c r="C18" s="40"/>
      <c r="D18" s="40"/>
      <c r="J18" s="98"/>
      <c r="O18" s="48"/>
    </row>
    <row r="19" spans="1:15" hidden="1" x14ac:dyDescent="0.25">
      <c r="A19" s="33" t="s">
        <v>122</v>
      </c>
      <c r="B19" s="40">
        <v>0</v>
      </c>
      <c r="C19" s="40"/>
      <c r="D19" s="40">
        <f>C19-B19</f>
        <v>0</v>
      </c>
      <c r="H19" s="95"/>
      <c r="I19" s="95"/>
      <c r="J19" s="98"/>
      <c r="O19" s="48"/>
    </row>
    <row r="20" spans="1:15" hidden="1" x14ac:dyDescent="0.25">
      <c r="A20" s="33" t="s">
        <v>123</v>
      </c>
      <c r="B20" s="40">
        <f>-121.541662578305*B4</f>
        <v>-510.47498282888097</v>
      </c>
      <c r="C20" s="40">
        <f>SUM(C21:C25)</f>
        <v>-344.80200000000002</v>
      </c>
      <c r="D20" s="40">
        <f>C20-B20</f>
        <v>165.67298282888095</v>
      </c>
      <c r="H20" s="95"/>
      <c r="I20" s="95"/>
      <c r="J20" s="98"/>
      <c r="O20" s="48"/>
    </row>
    <row r="21" spans="1:15" hidden="1" outlineLevel="1" x14ac:dyDescent="0.25">
      <c r="A21" s="81" t="s">
        <v>103</v>
      </c>
      <c r="B21" s="40"/>
      <c r="C21" s="82">
        <f>-(C141+E141)</f>
        <v>-171.64100000000002</v>
      </c>
      <c r="D21" s="40"/>
      <c r="J21" s="98"/>
      <c r="O21" s="48"/>
    </row>
    <row r="22" spans="1:15" hidden="1" outlineLevel="1" x14ac:dyDescent="0.25">
      <c r="A22" s="81" t="s">
        <v>147</v>
      </c>
      <c r="B22" s="40"/>
      <c r="C22" s="82">
        <f>-(E143+E152)-SUM(C159:E159)</f>
        <v>-169.161</v>
      </c>
      <c r="D22" s="40"/>
      <c r="J22" s="98"/>
      <c r="O22" s="48"/>
    </row>
    <row r="23" spans="1:15" hidden="1" outlineLevel="1" x14ac:dyDescent="0.25">
      <c r="A23" s="81" t="s">
        <v>146</v>
      </c>
      <c r="B23" s="40"/>
      <c r="C23" s="82"/>
      <c r="D23" s="40"/>
      <c r="J23" s="98"/>
      <c r="O23" s="48"/>
    </row>
    <row r="24" spans="1:15" hidden="1" outlineLevel="1" x14ac:dyDescent="0.25">
      <c r="A24" s="81" t="s">
        <v>189</v>
      </c>
      <c r="B24" s="40"/>
      <c r="C24" s="82"/>
      <c r="D24" s="40"/>
      <c r="J24" s="98"/>
      <c r="O24" s="48"/>
    </row>
    <row r="25" spans="1:15" hidden="1" outlineLevel="1" x14ac:dyDescent="0.25">
      <c r="A25" s="81" t="s">
        <v>98</v>
      </c>
      <c r="B25" s="40"/>
      <c r="C25" s="82">
        <f>-C162</f>
        <v>-4</v>
      </c>
      <c r="D25" s="40"/>
      <c r="J25" s="98"/>
      <c r="O25" s="48"/>
    </row>
    <row r="26" spans="1:15" hidden="1" x14ac:dyDescent="0.25">
      <c r="A26" s="52" t="s">
        <v>143</v>
      </c>
      <c r="B26" s="53">
        <v>0</v>
      </c>
      <c r="C26" s="53" t="e">
        <f>SUM(C27:C29)</f>
        <v>#REF!</v>
      </c>
      <c r="D26" s="53" t="e">
        <f>C26-B26</f>
        <v>#REF!</v>
      </c>
      <c r="H26" s="95"/>
      <c r="I26" s="95"/>
      <c r="J26" s="98"/>
      <c r="O26" s="48"/>
    </row>
    <row r="27" spans="1:15" hidden="1" outlineLevel="1" x14ac:dyDescent="0.25">
      <c r="A27" s="81" t="s">
        <v>149</v>
      </c>
      <c r="B27" s="53"/>
      <c r="C27" s="82" t="e">
        <f>-#REF!</f>
        <v>#REF!</v>
      </c>
      <c r="D27" s="53"/>
      <c r="J27" s="98"/>
      <c r="O27" s="48"/>
    </row>
    <row r="28" spans="1:15" hidden="1" outlineLevel="1" x14ac:dyDescent="0.25">
      <c r="A28" s="81" t="s">
        <v>167</v>
      </c>
      <c r="B28" s="53"/>
      <c r="C28" s="82"/>
      <c r="D28" s="53"/>
      <c r="J28" s="98"/>
      <c r="O28" s="48"/>
    </row>
    <row r="29" spans="1:15" hidden="1" outlineLevel="1" x14ac:dyDescent="0.25">
      <c r="A29" s="81" t="s">
        <v>196</v>
      </c>
      <c r="B29" s="53"/>
      <c r="C29" s="82">
        <f>-E194</f>
        <v>0</v>
      </c>
      <c r="D29" s="53"/>
      <c r="J29" s="98"/>
      <c r="O29" s="48"/>
    </row>
    <row r="30" spans="1:15" hidden="1" x14ac:dyDescent="0.25">
      <c r="A30" s="33" t="s">
        <v>124</v>
      </c>
      <c r="B30" s="40">
        <f>-71.5157508348324*B4</f>
        <v>-300.36615350629609</v>
      </c>
      <c r="C30" s="83" t="e">
        <f>SUM(C31:C71)</f>
        <v>#REF!</v>
      </c>
      <c r="D30" s="40" t="e">
        <f>C30-B30</f>
        <v>#REF!</v>
      </c>
      <c r="H30" s="95"/>
      <c r="I30" s="95"/>
      <c r="J30" s="98"/>
      <c r="O30" s="48"/>
    </row>
    <row r="31" spans="1:15" hidden="1" outlineLevel="1" x14ac:dyDescent="0.25">
      <c r="A31" s="81" t="s">
        <v>29</v>
      </c>
      <c r="B31" s="40"/>
      <c r="C31" s="83">
        <f>-D145</f>
        <v>0</v>
      </c>
      <c r="D31" s="40"/>
      <c r="J31" s="98"/>
      <c r="O31" s="48"/>
    </row>
    <row r="32" spans="1:15" hidden="1" outlineLevel="1" x14ac:dyDescent="0.25">
      <c r="A32" s="81" t="s">
        <v>9</v>
      </c>
      <c r="B32" s="40"/>
      <c r="C32" s="83"/>
      <c r="D32" s="40"/>
      <c r="J32" s="98"/>
      <c r="O32" s="48"/>
    </row>
    <row r="33" spans="1:15" hidden="1" outlineLevel="1" x14ac:dyDescent="0.25">
      <c r="A33" s="81" t="s">
        <v>111</v>
      </c>
      <c r="B33" s="40"/>
      <c r="C33" s="83"/>
      <c r="D33" s="40"/>
      <c r="J33" s="98"/>
      <c r="O33" s="48"/>
    </row>
    <row r="34" spans="1:15" hidden="1" outlineLevel="1" x14ac:dyDescent="0.25">
      <c r="A34" s="81" t="s">
        <v>45</v>
      </c>
      <c r="B34" s="40"/>
      <c r="C34" s="83"/>
      <c r="D34" s="40"/>
      <c r="J34" s="98"/>
      <c r="O34" s="48"/>
    </row>
    <row r="35" spans="1:15" hidden="1" outlineLevel="1" x14ac:dyDescent="0.25">
      <c r="A35" s="81" t="s">
        <v>52</v>
      </c>
      <c r="B35" s="40"/>
      <c r="C35" s="83">
        <f>-E149</f>
        <v>-3.3353000000000002</v>
      </c>
      <c r="D35" s="40"/>
      <c r="J35" s="98"/>
      <c r="O35" s="48"/>
    </row>
    <row r="36" spans="1:15" hidden="1" outlineLevel="1" x14ac:dyDescent="0.25">
      <c r="A36" s="81" t="s">
        <v>183</v>
      </c>
      <c r="B36" s="40"/>
      <c r="C36" s="83">
        <f>-E175</f>
        <v>0</v>
      </c>
      <c r="D36" s="40"/>
      <c r="J36" s="98"/>
      <c r="O36" s="48"/>
    </row>
    <row r="37" spans="1:15" hidden="1" outlineLevel="1" x14ac:dyDescent="0.25">
      <c r="A37" s="81" t="s">
        <v>56</v>
      </c>
      <c r="B37" s="40"/>
      <c r="C37" s="83"/>
      <c r="D37" s="40"/>
      <c r="J37" s="98"/>
      <c r="O37" s="48"/>
    </row>
    <row r="38" spans="1:15" hidden="1" outlineLevel="1" x14ac:dyDescent="0.25">
      <c r="A38" s="81" t="s">
        <v>12</v>
      </c>
      <c r="B38" s="40"/>
      <c r="C38" s="83" t="e">
        <f>-(C150+#REF!)</f>
        <v>#REF!</v>
      </c>
      <c r="D38" s="40"/>
      <c r="J38" s="98"/>
      <c r="O38" s="48"/>
    </row>
    <row r="39" spans="1:15" hidden="1" outlineLevel="1" x14ac:dyDescent="0.25">
      <c r="A39" s="81" t="s">
        <v>68</v>
      </c>
      <c r="B39" s="40"/>
      <c r="C39" s="83">
        <f>-SUM(B154:E154)</f>
        <v>-12.34074</v>
      </c>
      <c r="D39" s="40"/>
      <c r="J39" s="98"/>
      <c r="O39" s="48"/>
    </row>
    <row r="40" spans="1:15" hidden="1" outlineLevel="1" x14ac:dyDescent="0.25">
      <c r="A40" s="81" t="s">
        <v>42</v>
      </c>
      <c r="B40" s="40"/>
      <c r="C40" s="83">
        <f>-SUM(B163:E163)</f>
        <v>0</v>
      </c>
      <c r="D40" s="40"/>
      <c r="J40" s="98"/>
      <c r="O40" s="48"/>
    </row>
    <row r="41" spans="1:15" hidden="1" outlineLevel="1" x14ac:dyDescent="0.25">
      <c r="A41" s="81" t="s">
        <v>76</v>
      </c>
      <c r="B41" s="40"/>
      <c r="C41" s="83">
        <f>-SUM(E164:E164)</f>
        <v>0</v>
      </c>
      <c r="D41" s="40"/>
      <c r="J41" s="98"/>
      <c r="O41" s="48"/>
    </row>
    <row r="42" spans="1:15" hidden="1" outlineLevel="1" x14ac:dyDescent="0.25">
      <c r="A42" s="81" t="s">
        <v>30</v>
      </c>
      <c r="B42" s="40"/>
      <c r="C42" s="83">
        <f>-SUM(E165:E165)</f>
        <v>0</v>
      </c>
      <c r="D42" s="40"/>
      <c r="J42" s="98"/>
      <c r="O42" s="48"/>
    </row>
    <row r="43" spans="1:15" hidden="1" outlineLevel="1" x14ac:dyDescent="0.25">
      <c r="A43" s="81" t="s">
        <v>15</v>
      </c>
      <c r="B43" s="40"/>
      <c r="C43" s="83">
        <f>-SUM(B166:E166)</f>
        <v>0</v>
      </c>
      <c r="D43" s="40"/>
      <c r="J43" s="98"/>
      <c r="O43" s="48"/>
    </row>
    <row r="44" spans="1:15" hidden="1" outlineLevel="1" x14ac:dyDescent="0.25">
      <c r="A44" s="81" t="s">
        <v>165</v>
      </c>
      <c r="B44" s="40"/>
      <c r="C44" s="83" t="e">
        <f>-#REF!</f>
        <v>#REF!</v>
      </c>
      <c r="D44" s="40"/>
      <c r="J44" s="98"/>
      <c r="O44" s="48"/>
    </row>
    <row r="45" spans="1:15" hidden="1" outlineLevel="1" x14ac:dyDescent="0.25">
      <c r="A45" s="81" t="s">
        <v>168</v>
      </c>
      <c r="B45" s="40"/>
      <c r="C45" s="83"/>
      <c r="D45" s="40"/>
      <c r="J45" s="98"/>
      <c r="O45" s="48"/>
    </row>
    <row r="46" spans="1:15" hidden="1" outlineLevel="1" x14ac:dyDescent="0.25">
      <c r="A46" s="81" t="s">
        <v>24</v>
      </c>
      <c r="B46" s="40"/>
      <c r="C46" s="83">
        <f>-SUM(C153:E153)</f>
        <v>0</v>
      </c>
      <c r="D46" s="40"/>
      <c r="J46" s="98"/>
      <c r="O46" s="48"/>
    </row>
    <row r="47" spans="1:15" hidden="1" outlineLevel="1" x14ac:dyDescent="0.25">
      <c r="A47" s="81" t="s">
        <v>25</v>
      </c>
      <c r="B47" s="40"/>
      <c r="C47" s="40">
        <f>-SUM(C202:E202)</f>
        <v>0</v>
      </c>
      <c r="D47" s="40"/>
      <c r="J47" s="49"/>
      <c r="O47" s="48"/>
    </row>
    <row r="48" spans="1:15" hidden="1" outlineLevel="1" x14ac:dyDescent="0.25">
      <c r="A48" s="81" t="s">
        <v>23</v>
      </c>
      <c r="B48" s="40"/>
      <c r="C48" s="83">
        <f>-SUM(D171:E171)</f>
        <v>0</v>
      </c>
      <c r="D48" s="40"/>
      <c r="J48" s="98"/>
      <c r="O48" s="48"/>
    </row>
    <row r="49" spans="1:15" hidden="1" outlineLevel="1" x14ac:dyDescent="0.25">
      <c r="A49" s="81" t="s">
        <v>35</v>
      </c>
      <c r="B49" s="40"/>
      <c r="C49" s="83"/>
      <c r="D49" s="40"/>
      <c r="J49" s="98"/>
      <c r="O49" s="48"/>
    </row>
    <row r="50" spans="1:15" hidden="1" outlineLevel="1" x14ac:dyDescent="0.25">
      <c r="A50" s="81" t="s">
        <v>40</v>
      </c>
      <c r="B50" s="40"/>
      <c r="C50" s="83"/>
      <c r="D50" s="40"/>
      <c r="J50" s="98"/>
      <c r="O50" s="48"/>
    </row>
    <row r="51" spans="1:15" hidden="1" outlineLevel="1" x14ac:dyDescent="0.25">
      <c r="A51" s="81" t="s">
        <v>91</v>
      </c>
      <c r="B51" s="40"/>
      <c r="C51" s="83"/>
      <c r="D51" s="40"/>
      <c r="J51" s="98"/>
      <c r="O51" s="48"/>
    </row>
    <row r="52" spans="1:15" hidden="1" outlineLevel="1" x14ac:dyDescent="0.25">
      <c r="A52" s="81" t="s">
        <v>100</v>
      </c>
      <c r="B52" s="40"/>
      <c r="C52" s="83"/>
      <c r="D52" s="40"/>
      <c r="J52" s="98"/>
      <c r="O52" s="48"/>
    </row>
    <row r="53" spans="1:15" hidden="1" outlineLevel="1" x14ac:dyDescent="0.25">
      <c r="A53" s="81" t="s">
        <v>13</v>
      </c>
      <c r="B53" s="40"/>
      <c r="C53" s="83">
        <f>-SUM(B188:E188)</f>
        <v>0</v>
      </c>
      <c r="D53" s="40"/>
      <c r="J53" s="98"/>
      <c r="O53" s="48"/>
    </row>
    <row r="54" spans="1:15" hidden="1" outlineLevel="1" x14ac:dyDescent="0.25">
      <c r="A54" s="81" t="s">
        <v>41</v>
      </c>
      <c r="B54" s="40"/>
      <c r="C54" s="83">
        <f>-SUM(B168:E168)</f>
        <v>-0.50968999999999998</v>
      </c>
      <c r="D54" s="40"/>
      <c r="J54" s="98"/>
      <c r="O54" s="48"/>
    </row>
    <row r="55" spans="1:15" hidden="1" outlineLevel="1" x14ac:dyDescent="0.25">
      <c r="A55" s="81" t="s">
        <v>36</v>
      </c>
      <c r="B55" s="40"/>
      <c r="C55" s="83">
        <f>-SUM(B169:E169)</f>
        <v>-0.48809000000000002</v>
      </c>
      <c r="D55" s="40"/>
      <c r="J55" s="98"/>
      <c r="O55" s="48"/>
    </row>
    <row r="56" spans="1:15" hidden="1" outlineLevel="1" x14ac:dyDescent="0.25">
      <c r="A56" s="81" t="s">
        <v>62</v>
      </c>
      <c r="B56" s="40"/>
      <c r="C56" s="83"/>
      <c r="D56" s="40"/>
      <c r="J56" s="98"/>
      <c r="O56" s="48"/>
    </row>
    <row r="57" spans="1:15" hidden="1" outlineLevel="1" x14ac:dyDescent="0.25">
      <c r="A57" s="81" t="s">
        <v>54</v>
      </c>
      <c r="B57" s="40"/>
      <c r="C57" s="83">
        <f>-SUM(C170:E170)</f>
        <v>-3.7484999999999999</v>
      </c>
      <c r="D57" s="40"/>
      <c r="J57" s="98"/>
      <c r="O57" s="48"/>
    </row>
    <row r="58" spans="1:15" hidden="1" outlineLevel="1" x14ac:dyDescent="0.25">
      <c r="A58" s="81" t="s">
        <v>166</v>
      </c>
      <c r="B58" s="40"/>
      <c r="C58" s="83"/>
      <c r="D58" s="40"/>
      <c r="J58" s="98"/>
      <c r="O58" s="48"/>
    </row>
    <row r="59" spans="1:15" hidden="1" outlineLevel="1" x14ac:dyDescent="0.25">
      <c r="A59" s="81" t="s">
        <v>48</v>
      </c>
      <c r="B59" s="40"/>
      <c r="C59" s="83"/>
      <c r="D59" s="40"/>
      <c r="J59" s="98"/>
      <c r="O59" s="48"/>
    </row>
    <row r="60" spans="1:15" hidden="1" outlineLevel="1" x14ac:dyDescent="0.25">
      <c r="A60" s="81" t="s">
        <v>73</v>
      </c>
      <c r="B60" s="40"/>
      <c r="C60" s="83">
        <f>-SUM(C148:E148)</f>
        <v>0</v>
      </c>
      <c r="D60" s="40"/>
      <c r="J60" s="98"/>
      <c r="O60" s="48"/>
    </row>
    <row r="61" spans="1:15" hidden="1" outlineLevel="1" x14ac:dyDescent="0.25">
      <c r="A61" s="81" t="s">
        <v>66</v>
      </c>
      <c r="B61" s="40"/>
      <c r="C61" s="83">
        <f>-SUM(C174:E174)</f>
        <v>0</v>
      </c>
      <c r="D61" s="40"/>
      <c r="J61" s="98"/>
      <c r="O61" s="48"/>
    </row>
    <row r="62" spans="1:15" hidden="1" outlineLevel="1" x14ac:dyDescent="0.25">
      <c r="A62" s="81" t="s">
        <v>80</v>
      </c>
      <c r="B62" s="40"/>
      <c r="C62" s="83">
        <f>-SUM(B199:E199)</f>
        <v>0</v>
      </c>
      <c r="D62" s="40"/>
      <c r="J62" s="98"/>
      <c r="O62" s="48"/>
    </row>
    <row r="63" spans="1:15" hidden="1" outlineLevel="1" x14ac:dyDescent="0.25">
      <c r="A63" s="81" t="s">
        <v>171</v>
      </c>
      <c r="B63" s="40"/>
      <c r="C63" s="83"/>
      <c r="D63" s="40"/>
      <c r="J63" s="98"/>
      <c r="O63" s="48"/>
    </row>
    <row r="64" spans="1:15" hidden="1" outlineLevel="1" x14ac:dyDescent="0.25">
      <c r="A64" s="81" t="s">
        <v>28</v>
      </c>
      <c r="B64" s="40"/>
      <c r="C64" s="83"/>
      <c r="D64" s="40"/>
      <c r="J64" s="98"/>
      <c r="O64" s="48"/>
    </row>
    <row r="65" spans="1:15" hidden="1" outlineLevel="1" x14ac:dyDescent="0.25">
      <c r="A65" s="81" t="s">
        <v>210</v>
      </c>
      <c r="B65" s="40"/>
      <c r="C65" s="83">
        <f>-SUM(C196:E196)</f>
        <v>0</v>
      </c>
      <c r="D65" s="40"/>
      <c r="J65" s="98"/>
      <c r="O65" s="48"/>
    </row>
    <row r="66" spans="1:15" hidden="1" outlineLevel="1" x14ac:dyDescent="0.25">
      <c r="A66" s="81" t="s">
        <v>188</v>
      </c>
      <c r="B66" s="40"/>
      <c r="C66" s="83"/>
      <c r="D66" s="40"/>
      <c r="J66" s="98"/>
      <c r="O66" s="48"/>
    </row>
    <row r="67" spans="1:15" hidden="1" outlineLevel="1" x14ac:dyDescent="0.25">
      <c r="A67" s="81" t="s">
        <v>208</v>
      </c>
      <c r="B67" s="40"/>
      <c r="C67" s="83">
        <f>-SUM(B190:E190)</f>
        <v>0</v>
      </c>
      <c r="D67" s="40"/>
      <c r="J67" s="98"/>
      <c r="O67" s="48"/>
    </row>
    <row r="68" spans="1:15" hidden="1" outlineLevel="1" x14ac:dyDescent="0.25">
      <c r="A68" s="81" t="s">
        <v>211</v>
      </c>
      <c r="B68" s="40"/>
      <c r="C68" s="83">
        <f>-SUM(D184:E184)</f>
        <v>-13.09</v>
      </c>
      <c r="D68" s="40"/>
      <c r="J68" s="98"/>
      <c r="O68" s="48"/>
    </row>
    <row r="69" spans="1:15" hidden="1" outlineLevel="1" x14ac:dyDescent="0.25">
      <c r="A69" s="81" t="s">
        <v>182</v>
      </c>
      <c r="B69" s="40"/>
      <c r="C69" s="83"/>
      <c r="D69" s="40"/>
      <c r="J69" s="98"/>
      <c r="O69" s="48"/>
    </row>
    <row r="70" spans="1:15" hidden="1" outlineLevel="1" x14ac:dyDescent="0.25">
      <c r="A70" s="104" t="s">
        <v>195</v>
      </c>
      <c r="B70" s="105"/>
      <c r="C70" s="105">
        <f>-SUM(C161:E161)</f>
        <v>0</v>
      </c>
      <c r="D70" s="40"/>
      <c r="J70" s="98"/>
      <c r="O70" s="48"/>
    </row>
    <row r="71" spans="1:15" hidden="1" outlineLevel="1" x14ac:dyDescent="0.25">
      <c r="A71" s="84" t="s">
        <v>150</v>
      </c>
      <c r="B71" s="41"/>
      <c r="C71" s="62">
        <f>-SUM(C158:E158)</f>
        <v>-1.2649699999999999</v>
      </c>
      <c r="D71" s="41"/>
      <c r="J71" s="98"/>
      <c r="O71" s="48"/>
    </row>
    <row r="72" spans="1:15" hidden="1" x14ac:dyDescent="0.25">
      <c r="A72" s="34"/>
      <c r="B72" s="40"/>
      <c r="C72" s="40"/>
      <c r="D72" s="40"/>
      <c r="J72" s="98"/>
      <c r="O72" s="48"/>
    </row>
    <row r="73" spans="1:15" hidden="1" x14ac:dyDescent="0.25">
      <c r="A73" s="35" t="s">
        <v>134</v>
      </c>
      <c r="B73" s="42">
        <f>B9+B14+B19+B20+B26+B30</f>
        <v>-455.94113633517702</v>
      </c>
      <c r="C73" s="42" t="e">
        <f>C9+C14+C19+C20+C26+C30</f>
        <v>#REF!</v>
      </c>
      <c r="D73" s="42" t="e">
        <f>D9+D14+D19+D20+D26+D30</f>
        <v>#REF!</v>
      </c>
      <c r="H73" s="95"/>
      <c r="I73" s="95"/>
      <c r="J73" s="98"/>
      <c r="O73" s="48"/>
    </row>
    <row r="74" spans="1:15" s="1" customFormat="1" hidden="1" x14ac:dyDescent="0.25">
      <c r="A74" s="34"/>
      <c r="B74" s="40"/>
      <c r="C74" s="40"/>
      <c r="D74" s="40"/>
      <c r="J74" s="98"/>
      <c r="O74" s="49"/>
    </row>
    <row r="75" spans="1:15" s="1" customFormat="1" hidden="1" x14ac:dyDescent="0.25">
      <c r="A75" s="31" t="s">
        <v>125</v>
      </c>
      <c r="B75" s="43">
        <f>-59.33*B4</f>
        <v>-249.18600000000001</v>
      </c>
      <c r="C75" s="43">
        <f>SUM(C76:C79)</f>
        <v>-41.4</v>
      </c>
      <c r="D75" s="43">
        <f>C75-B75</f>
        <v>207.786</v>
      </c>
      <c r="H75" s="93"/>
      <c r="I75" s="93"/>
      <c r="J75" s="98"/>
      <c r="O75" s="49"/>
    </row>
    <row r="76" spans="1:15" s="1" customFormat="1" hidden="1" outlineLevel="1" x14ac:dyDescent="0.25">
      <c r="A76" s="81" t="s">
        <v>53</v>
      </c>
      <c r="B76" s="40"/>
      <c r="C76" s="40"/>
      <c r="D76" s="40"/>
      <c r="J76" s="98"/>
      <c r="O76" s="49"/>
    </row>
    <row r="77" spans="1:15" s="1" customFormat="1" hidden="1" outlineLevel="1" x14ac:dyDescent="0.25">
      <c r="A77" s="81" t="s">
        <v>148</v>
      </c>
      <c r="B77" s="40"/>
      <c r="C77" s="40"/>
      <c r="D77" s="40"/>
      <c r="J77" s="98"/>
      <c r="O77" s="49"/>
    </row>
    <row r="78" spans="1:15" s="1" customFormat="1" hidden="1" outlineLevel="1" x14ac:dyDescent="0.25">
      <c r="A78" s="81" t="s">
        <v>209</v>
      </c>
      <c r="B78" s="40"/>
      <c r="C78" s="40">
        <f>-SUM(B189:E189)</f>
        <v>-41.4</v>
      </c>
      <c r="D78" s="40"/>
      <c r="J78" s="98"/>
      <c r="O78" s="49"/>
    </row>
    <row r="79" spans="1:15" s="1" customFormat="1" hidden="1" outlineLevel="1" x14ac:dyDescent="0.25">
      <c r="A79" s="81" t="s">
        <v>151</v>
      </c>
      <c r="B79" s="40"/>
      <c r="C79" s="40"/>
      <c r="D79" s="40"/>
      <c r="J79" s="98"/>
      <c r="O79" s="49"/>
    </row>
    <row r="80" spans="1:15" hidden="1" x14ac:dyDescent="0.25">
      <c r="A80" s="33" t="s">
        <v>126</v>
      </c>
      <c r="B80" s="40">
        <f>8.0231620925531*B4</f>
        <v>33.69728078872302</v>
      </c>
      <c r="C80" s="40">
        <f>SUM(C81:C86)</f>
        <v>-46</v>
      </c>
      <c r="D80" s="40">
        <f>C80-B80</f>
        <v>-79.69728078872302</v>
      </c>
      <c r="H80" s="95"/>
      <c r="I80" s="95"/>
      <c r="J80" s="98"/>
      <c r="O80" s="48"/>
    </row>
    <row r="81" spans="1:15" hidden="1" outlineLevel="1" x14ac:dyDescent="0.25">
      <c r="A81" s="81" t="s">
        <v>152</v>
      </c>
      <c r="B81" s="40"/>
      <c r="C81" s="40">
        <f>-E144</f>
        <v>-16</v>
      </c>
      <c r="D81" s="40"/>
      <c r="J81" s="98"/>
      <c r="O81" s="48"/>
    </row>
    <row r="82" spans="1:15" hidden="1" outlineLevel="1" x14ac:dyDescent="0.25">
      <c r="A82" s="81" t="s">
        <v>10</v>
      </c>
      <c r="B82" s="40"/>
      <c r="C82" s="40">
        <f>-SUM(B147:E147)</f>
        <v>-30</v>
      </c>
      <c r="D82" s="40"/>
      <c r="J82" s="98"/>
      <c r="O82" s="48"/>
    </row>
    <row r="83" spans="1:15" hidden="1" outlineLevel="1" x14ac:dyDescent="0.25">
      <c r="A83" s="81" t="s">
        <v>43</v>
      </c>
      <c r="B83" s="40"/>
      <c r="C83" s="40">
        <f>-B200</f>
        <v>0</v>
      </c>
      <c r="D83" s="40"/>
      <c r="J83" s="98"/>
      <c r="O83" s="48"/>
    </row>
    <row r="84" spans="1:15" hidden="1" outlineLevel="1" x14ac:dyDescent="0.25">
      <c r="A84" s="81" t="s">
        <v>194</v>
      </c>
      <c r="B84" s="40"/>
      <c r="C84" s="40">
        <f>B137-B195</f>
        <v>0</v>
      </c>
      <c r="D84" s="40"/>
      <c r="J84" s="98"/>
      <c r="O84" s="48"/>
    </row>
    <row r="85" spans="1:15" hidden="1" outlineLevel="1" x14ac:dyDescent="0.25">
      <c r="A85" s="81" t="s">
        <v>212</v>
      </c>
      <c r="B85" s="40"/>
      <c r="C85" s="40">
        <f>SUM(B135:E135)</f>
        <v>0</v>
      </c>
      <c r="D85" s="40"/>
      <c r="J85" s="98"/>
      <c r="O85" s="48"/>
    </row>
    <row r="86" spans="1:15" hidden="1" outlineLevel="1" x14ac:dyDescent="0.25">
      <c r="A86" s="81" t="s">
        <v>109</v>
      </c>
      <c r="B86" s="40"/>
      <c r="C86" s="40">
        <f>-SUM(C146:E146)</f>
        <v>0</v>
      </c>
      <c r="D86" s="40"/>
      <c r="J86" s="98"/>
      <c r="O86" s="48"/>
    </row>
    <row r="87" spans="1:15" hidden="1" x14ac:dyDescent="0.25">
      <c r="A87" s="33" t="s">
        <v>127</v>
      </c>
      <c r="B87" s="40">
        <f>-1.11999972306073*B4</f>
        <v>-4.7039988368550656</v>
      </c>
      <c r="C87" s="40"/>
      <c r="D87" s="40">
        <f t="shared" ref="D87:D88" si="0">C87-B87</f>
        <v>4.7039988368550656</v>
      </c>
      <c r="H87" s="95"/>
      <c r="I87" s="95"/>
      <c r="J87" s="98"/>
      <c r="O87" s="48"/>
    </row>
    <row r="88" spans="1:15" hidden="1" x14ac:dyDescent="0.25">
      <c r="A88" s="33" t="s">
        <v>128</v>
      </c>
      <c r="B88" s="40">
        <v>0</v>
      </c>
      <c r="C88" s="40"/>
      <c r="D88" s="40">
        <f t="shared" si="0"/>
        <v>0</v>
      </c>
      <c r="H88" s="95"/>
      <c r="I88" s="95"/>
      <c r="J88" s="98"/>
      <c r="O88" s="48"/>
    </row>
    <row r="89" spans="1:15" hidden="1" x14ac:dyDescent="0.25">
      <c r="A89" s="33" t="s">
        <v>129</v>
      </c>
      <c r="B89" s="40">
        <f>8.31321479356027*B4</f>
        <v>34.915502132953137</v>
      </c>
      <c r="C89" s="40">
        <f>SUM(C90:C91)</f>
        <v>-24.475999999999999</v>
      </c>
      <c r="D89" s="40">
        <f>C89-B89</f>
        <v>-59.391502132953136</v>
      </c>
      <c r="H89" s="95"/>
      <c r="I89" s="95"/>
      <c r="J89" s="49"/>
      <c r="O89" s="48"/>
    </row>
    <row r="90" spans="1:15" hidden="1" outlineLevel="1" x14ac:dyDescent="0.25">
      <c r="A90" s="81" t="s">
        <v>59</v>
      </c>
      <c r="B90" s="40"/>
      <c r="C90" s="40">
        <f>SUM(B131:E131)</f>
        <v>0</v>
      </c>
      <c r="D90" s="40"/>
      <c r="J90" s="49"/>
      <c r="O90" s="48"/>
    </row>
    <row r="91" spans="1:15" hidden="1" outlineLevel="1" x14ac:dyDescent="0.25">
      <c r="A91" s="84" t="s">
        <v>145</v>
      </c>
      <c r="B91" s="41"/>
      <c r="C91" s="41">
        <f>-SUM(B151:E151)</f>
        <v>-24.475999999999999</v>
      </c>
      <c r="D91" s="41"/>
      <c r="J91" s="49"/>
      <c r="O91" s="48"/>
    </row>
    <row r="92" spans="1:15" hidden="1" x14ac:dyDescent="0.25">
      <c r="A92" s="34"/>
      <c r="B92" s="40"/>
      <c r="C92" s="40"/>
      <c r="D92" s="40"/>
      <c r="J92" s="49"/>
      <c r="O92" s="48"/>
    </row>
    <row r="93" spans="1:15" hidden="1" x14ac:dyDescent="0.25">
      <c r="A93" s="35" t="s">
        <v>135</v>
      </c>
      <c r="B93" s="42">
        <f>B75+B80+B87+B88+B89</f>
        <v>-185.27721591517894</v>
      </c>
      <c r="C93" s="42">
        <f>C75+C80+C89+C88+C87</f>
        <v>-111.876</v>
      </c>
      <c r="D93" s="42">
        <f>D75+D80+D87+D88+D89</f>
        <v>73.401215915178923</v>
      </c>
      <c r="H93" s="95"/>
      <c r="I93" s="95"/>
      <c r="J93" s="49"/>
      <c r="O93" s="48"/>
    </row>
    <row r="94" spans="1:15" hidden="1" x14ac:dyDescent="0.25">
      <c r="A94" s="36"/>
      <c r="B94" s="44"/>
      <c r="C94" s="44"/>
      <c r="D94" s="44"/>
      <c r="J94" s="49"/>
      <c r="O94" s="48"/>
    </row>
    <row r="95" spans="1:15" hidden="1" x14ac:dyDescent="0.25">
      <c r="A95" s="37" t="s">
        <v>136</v>
      </c>
      <c r="B95" s="45">
        <f>B93+B73</f>
        <v>-641.21835225035602</v>
      </c>
      <c r="C95" s="45" t="e">
        <f>C93+C73</f>
        <v>#REF!</v>
      </c>
      <c r="D95" s="45" t="e">
        <f t="shared" ref="D95" si="1">D93+D73</f>
        <v>#REF!</v>
      </c>
      <c r="H95" s="95"/>
      <c r="I95" s="95"/>
      <c r="J95" s="49"/>
      <c r="O95" s="48"/>
    </row>
    <row r="96" spans="1:15" hidden="1" x14ac:dyDescent="0.25">
      <c r="A96" s="34"/>
      <c r="B96" s="44"/>
      <c r="C96" s="44"/>
      <c r="D96" s="44"/>
      <c r="J96" s="49"/>
      <c r="O96" s="48"/>
    </row>
    <row r="97" spans="1:15" hidden="1" x14ac:dyDescent="0.25">
      <c r="A97" s="31" t="s">
        <v>130</v>
      </c>
      <c r="B97" s="43">
        <v>0</v>
      </c>
      <c r="C97" s="43"/>
      <c r="D97" s="43"/>
      <c r="J97" s="49"/>
      <c r="O97" s="48"/>
    </row>
    <row r="98" spans="1:15" hidden="1" x14ac:dyDescent="0.25">
      <c r="A98" s="33" t="s">
        <v>131</v>
      </c>
      <c r="B98" s="40">
        <v>0</v>
      </c>
      <c r="C98" s="40"/>
      <c r="D98" s="40"/>
      <c r="J98" s="49"/>
      <c r="O98" s="48"/>
    </row>
    <row r="99" spans="1:15" hidden="1" x14ac:dyDescent="0.25">
      <c r="A99" s="33" t="s">
        <v>132</v>
      </c>
      <c r="B99" s="40">
        <v>0</v>
      </c>
      <c r="C99" s="40"/>
      <c r="D99" s="40"/>
      <c r="J99" s="49"/>
      <c r="O99" s="48"/>
    </row>
    <row r="100" spans="1:15" hidden="1" x14ac:dyDescent="0.25">
      <c r="A100" s="33" t="s">
        <v>133</v>
      </c>
      <c r="B100" s="40">
        <f>-42.75*B4</f>
        <v>-179.55</v>
      </c>
      <c r="C100" s="40">
        <f>SUM(C101:C109)</f>
        <v>-3</v>
      </c>
      <c r="D100" s="40">
        <f>C100-B100</f>
        <v>176.55</v>
      </c>
      <c r="H100" s="95"/>
      <c r="I100" s="95"/>
      <c r="J100" s="49"/>
      <c r="O100" s="48"/>
    </row>
    <row r="101" spans="1:15" hidden="1" outlineLevel="1" x14ac:dyDescent="0.25">
      <c r="A101" s="81" t="s">
        <v>80</v>
      </c>
      <c r="B101" s="40"/>
      <c r="C101" s="40"/>
      <c r="D101" s="40"/>
      <c r="J101" s="49"/>
      <c r="O101" s="48"/>
    </row>
    <row r="102" spans="1:15" hidden="1" outlineLevel="1" x14ac:dyDescent="0.25">
      <c r="A102" s="81" t="s">
        <v>9</v>
      </c>
      <c r="B102" s="40"/>
      <c r="C102" s="40"/>
      <c r="D102" s="40"/>
      <c r="J102" s="49"/>
      <c r="O102" s="48"/>
    </row>
    <row r="103" spans="1:15" hidden="1" outlineLevel="1" x14ac:dyDescent="0.25">
      <c r="A103" s="81" t="s">
        <v>73</v>
      </c>
      <c r="B103" s="40"/>
      <c r="C103" s="40"/>
      <c r="D103" s="40"/>
      <c r="J103" s="49"/>
      <c r="O103" s="48"/>
    </row>
    <row r="104" spans="1:15" hidden="1" outlineLevel="1" x14ac:dyDescent="0.25">
      <c r="A104" s="81" t="s">
        <v>62</v>
      </c>
      <c r="B104" s="40"/>
      <c r="C104" s="40"/>
      <c r="D104" s="40"/>
      <c r="J104" s="49"/>
      <c r="O104" s="48"/>
    </row>
    <row r="105" spans="1:15" hidden="1" outlineLevel="1" x14ac:dyDescent="0.25">
      <c r="A105" s="81" t="s">
        <v>24</v>
      </c>
      <c r="B105" s="40"/>
      <c r="C105" s="40"/>
      <c r="D105" s="40"/>
      <c r="J105" s="49"/>
      <c r="O105" s="48"/>
    </row>
    <row r="106" spans="1:15" hidden="1" outlineLevel="1" x14ac:dyDescent="0.25">
      <c r="A106" s="81" t="s">
        <v>68</v>
      </c>
      <c r="B106" s="40"/>
      <c r="C106" s="40"/>
      <c r="D106" s="40"/>
      <c r="J106" s="49"/>
      <c r="O106" s="48"/>
    </row>
    <row r="107" spans="1:15" hidden="1" outlineLevel="1" x14ac:dyDescent="0.25">
      <c r="A107" s="81" t="s">
        <v>25</v>
      </c>
      <c r="B107" s="40"/>
      <c r="C107" s="40"/>
      <c r="D107" s="40"/>
      <c r="J107" s="49"/>
      <c r="O107" s="48"/>
    </row>
    <row r="108" spans="1:15" hidden="1" outlineLevel="1" x14ac:dyDescent="0.25">
      <c r="A108" s="81" t="s">
        <v>94</v>
      </c>
      <c r="B108" s="40"/>
      <c r="C108" s="40"/>
      <c r="D108" s="40"/>
      <c r="J108" s="49"/>
      <c r="O108" s="48"/>
    </row>
    <row r="109" spans="1:15" hidden="1" outlineLevel="1" x14ac:dyDescent="0.25">
      <c r="A109" s="84" t="s">
        <v>164</v>
      </c>
      <c r="B109" s="41"/>
      <c r="C109" s="41">
        <f>-SUM(D167:E167)</f>
        <v>-3</v>
      </c>
      <c r="D109" s="41"/>
      <c r="J109" s="49"/>
      <c r="O109" s="48"/>
    </row>
    <row r="110" spans="1:15" hidden="1" x14ac:dyDescent="0.25">
      <c r="A110" s="34"/>
      <c r="B110" s="44"/>
      <c r="C110" s="44"/>
      <c r="D110" s="44"/>
      <c r="J110" s="49"/>
      <c r="O110" s="48"/>
    </row>
    <row r="111" spans="1:15" hidden="1" x14ac:dyDescent="0.25">
      <c r="A111" s="35" t="s">
        <v>137</v>
      </c>
      <c r="B111" s="42">
        <f>SUM(B97:B100)</f>
        <v>-179.55</v>
      </c>
      <c r="C111" s="42">
        <f>SUM(C97:C100)</f>
        <v>-3</v>
      </c>
      <c r="D111" s="42">
        <f>SUM(D97:D100)</f>
        <v>176.55</v>
      </c>
      <c r="H111" s="95"/>
      <c r="I111" s="95"/>
      <c r="J111" s="49"/>
      <c r="O111" s="48"/>
    </row>
    <row r="112" spans="1:15" hidden="1" x14ac:dyDescent="0.25">
      <c r="A112" s="34"/>
      <c r="B112" s="44"/>
      <c r="C112" s="44"/>
      <c r="D112" s="44"/>
      <c r="J112" s="49"/>
      <c r="O112" s="48"/>
    </row>
    <row r="113" spans="1:15" hidden="1" x14ac:dyDescent="0.25">
      <c r="A113" s="37" t="s">
        <v>138</v>
      </c>
      <c r="B113" s="45">
        <f>B111+B95</f>
        <v>-820.76835225035597</v>
      </c>
      <c r="C113" s="45" t="e">
        <f>C111+C95</f>
        <v>#REF!</v>
      </c>
      <c r="D113" s="45" t="e">
        <f>D111+D95</f>
        <v>#REF!</v>
      </c>
      <c r="H113" s="95"/>
      <c r="I113" s="95"/>
      <c r="J113" s="49"/>
      <c r="O113" s="48"/>
    </row>
    <row r="114" spans="1:15" hidden="1" x14ac:dyDescent="0.25">
      <c r="C114" s="92"/>
      <c r="J114" s="49"/>
      <c r="K114" s="48"/>
      <c r="L114" s="48"/>
      <c r="M114" s="48"/>
      <c r="N114" s="48"/>
      <c r="O114" s="48"/>
    </row>
    <row r="115" spans="1:15" hidden="1" x14ac:dyDescent="0.25">
      <c r="C115" s="92"/>
      <c r="J115" s="49"/>
      <c r="K115" s="48"/>
      <c r="L115" s="48"/>
      <c r="M115" s="48"/>
      <c r="N115" s="48"/>
      <c r="O115" s="48"/>
    </row>
    <row r="116" spans="1:15" hidden="1" x14ac:dyDescent="0.25">
      <c r="C116" s="93"/>
      <c r="J116" s="49"/>
      <c r="K116" s="48"/>
      <c r="L116" s="48"/>
      <c r="M116" s="48"/>
      <c r="N116" s="48"/>
      <c r="O116" s="48"/>
    </row>
    <row r="117" spans="1:15" hidden="1" x14ac:dyDescent="0.25">
      <c r="J117" s="49"/>
      <c r="K117" s="48"/>
      <c r="L117" s="48"/>
      <c r="M117" s="48"/>
      <c r="N117" s="48"/>
      <c r="O117" s="48"/>
    </row>
    <row r="118" spans="1:15" hidden="1" x14ac:dyDescent="0.25">
      <c r="J118" s="49"/>
      <c r="K118" s="48"/>
      <c r="L118" s="48"/>
      <c r="M118" s="48"/>
      <c r="N118" s="48"/>
      <c r="O118" s="48"/>
    </row>
    <row r="119" spans="1:15" x14ac:dyDescent="0.25">
      <c r="A119" s="2" t="s">
        <v>6</v>
      </c>
      <c r="B119" s="13">
        <v>36</v>
      </c>
      <c r="C119" s="13">
        <v>37</v>
      </c>
      <c r="D119" s="13">
        <v>38</v>
      </c>
      <c r="E119" s="13">
        <v>39</v>
      </c>
      <c r="F119" s="13">
        <v>35</v>
      </c>
      <c r="I119" s="16">
        <v>2017</v>
      </c>
      <c r="J119" s="49"/>
      <c r="K119" s="48"/>
      <c r="L119" s="48"/>
      <c r="M119" s="48"/>
      <c r="N119" s="48"/>
      <c r="O119" s="48"/>
    </row>
    <row r="120" spans="1:15" x14ac:dyDescent="0.25">
      <c r="A120" s="2"/>
      <c r="B120" s="3" t="s">
        <v>359</v>
      </c>
      <c r="C120" s="3" t="s">
        <v>361</v>
      </c>
      <c r="D120" s="3" t="s">
        <v>360</v>
      </c>
      <c r="E120" s="3" t="s">
        <v>362</v>
      </c>
      <c r="F120" s="3" t="s">
        <v>353</v>
      </c>
      <c r="I120" s="17">
        <v>2016</v>
      </c>
      <c r="J120" s="49"/>
      <c r="K120" s="48"/>
      <c r="L120" s="48"/>
      <c r="M120" s="48"/>
      <c r="N120" s="48"/>
      <c r="O120" s="48"/>
    </row>
    <row r="121" spans="1:15" x14ac:dyDescent="0.25">
      <c r="A121" s="4" t="s">
        <v>0</v>
      </c>
      <c r="B121" s="5">
        <f>August!F259</f>
        <v>1509.6237000000003</v>
      </c>
      <c r="C121" s="5">
        <f>B258</f>
        <v>1568.2358800000004</v>
      </c>
      <c r="D121" s="5">
        <f>C258</f>
        <v>1233.1984530000004</v>
      </c>
      <c r="E121" s="5">
        <f>D258</f>
        <v>1402.3459530000005</v>
      </c>
      <c r="F121" s="5">
        <f>E258</f>
        <v>1076.9764830000004</v>
      </c>
      <c r="G121" s="1"/>
      <c r="H121" s="1"/>
      <c r="J121" s="49"/>
      <c r="K121" s="48"/>
      <c r="L121" s="48"/>
      <c r="M121" s="48"/>
      <c r="N121" s="48"/>
      <c r="O121" s="48"/>
    </row>
    <row r="122" spans="1:15" x14ac:dyDescent="0.25">
      <c r="A122" s="15" t="s">
        <v>1</v>
      </c>
      <c r="B122" s="4"/>
      <c r="C122" s="4"/>
      <c r="D122" s="4"/>
      <c r="E122" s="4"/>
      <c r="F122" s="4"/>
      <c r="G122" s="49"/>
      <c r="H122" s="49"/>
      <c r="I122" s="49"/>
      <c r="J122" s="49"/>
      <c r="K122" s="48"/>
      <c r="L122" s="48"/>
      <c r="M122" s="48"/>
      <c r="N122" s="48"/>
      <c r="O122" s="48"/>
    </row>
    <row r="123" spans="1:15" x14ac:dyDescent="0.25">
      <c r="A123" s="2" t="s">
        <v>2</v>
      </c>
      <c r="B123" s="6"/>
      <c r="C123" s="6"/>
      <c r="D123" s="6"/>
      <c r="E123" s="6"/>
      <c r="F123" s="6"/>
      <c r="G123" s="49"/>
      <c r="H123" s="49"/>
      <c r="I123" s="49"/>
      <c r="J123" s="49"/>
      <c r="K123" s="48"/>
      <c r="L123" s="48"/>
      <c r="M123" s="48"/>
      <c r="N123" s="48"/>
      <c r="O123" s="48"/>
    </row>
    <row r="124" spans="1:15" hidden="1" x14ac:dyDescent="0.25">
      <c r="A124" s="2" t="s">
        <v>39</v>
      </c>
      <c r="B124" s="2"/>
      <c r="C124" s="2"/>
      <c r="D124" s="2"/>
      <c r="E124" s="2"/>
      <c r="F124" s="2"/>
      <c r="G124" s="49"/>
      <c r="H124" s="49"/>
      <c r="I124" s="49"/>
      <c r="J124" s="49"/>
      <c r="K124" s="48"/>
      <c r="L124" s="48"/>
      <c r="M124" s="48"/>
      <c r="N124" s="48"/>
      <c r="O124" s="48"/>
    </row>
    <row r="125" spans="1:15" hidden="1" x14ac:dyDescent="0.25">
      <c r="A125" s="2" t="s">
        <v>3</v>
      </c>
      <c r="B125" s="2"/>
      <c r="C125" s="2"/>
      <c r="D125" s="2"/>
      <c r="E125" s="2"/>
      <c r="F125" s="2"/>
      <c r="G125" s="49"/>
      <c r="H125" s="49"/>
      <c r="I125" s="49"/>
      <c r="J125" s="49"/>
      <c r="K125" s="48"/>
      <c r="L125" s="48"/>
      <c r="M125" s="48"/>
      <c r="N125" s="48"/>
      <c r="O125" s="48"/>
    </row>
    <row r="126" spans="1:15" hidden="1" x14ac:dyDescent="0.25">
      <c r="A126" s="2" t="s">
        <v>4</v>
      </c>
      <c r="B126" s="2"/>
      <c r="C126" s="2"/>
      <c r="D126" s="2"/>
      <c r="E126" s="2"/>
      <c r="F126" s="2"/>
      <c r="G126" s="49"/>
      <c r="H126" s="49"/>
      <c r="I126" s="49"/>
      <c r="J126" s="49"/>
      <c r="K126" s="48"/>
      <c r="L126" s="48"/>
      <c r="M126" s="48"/>
      <c r="N126" s="48"/>
      <c r="O126" s="48"/>
    </row>
    <row r="127" spans="1:15" hidden="1" x14ac:dyDescent="0.25">
      <c r="A127" s="2" t="s">
        <v>32</v>
      </c>
      <c r="B127" s="2"/>
      <c r="C127" s="2"/>
      <c r="D127" s="2"/>
      <c r="E127" s="2"/>
      <c r="F127" s="2"/>
      <c r="G127" s="49"/>
      <c r="H127" s="49"/>
      <c r="I127" s="49"/>
      <c r="J127" s="49"/>
      <c r="K127" s="48"/>
      <c r="L127" s="48"/>
      <c r="M127" s="48"/>
      <c r="N127" s="48"/>
      <c r="O127" s="48"/>
    </row>
    <row r="128" spans="1:15" x14ac:dyDescent="0.25">
      <c r="A128" s="2" t="s">
        <v>74</v>
      </c>
      <c r="B128" s="2"/>
      <c r="C128" s="2"/>
      <c r="D128" s="2"/>
      <c r="E128" s="2"/>
      <c r="F128" s="2"/>
      <c r="G128" s="49"/>
      <c r="H128" s="49"/>
      <c r="I128" s="49"/>
      <c r="J128" s="49"/>
      <c r="K128" s="48"/>
      <c r="L128" s="48"/>
      <c r="M128" s="48"/>
      <c r="N128" s="48"/>
      <c r="O128" s="48"/>
    </row>
    <row r="129" spans="1:15" x14ac:dyDescent="0.25">
      <c r="A129" s="2" t="s">
        <v>217</v>
      </c>
      <c r="B129" s="2"/>
      <c r="C129" s="2"/>
      <c r="D129" s="2"/>
      <c r="E129" s="2"/>
      <c r="F129" s="2"/>
      <c r="G129" s="49"/>
      <c r="H129" s="49"/>
      <c r="I129" s="49"/>
      <c r="J129" s="49"/>
      <c r="K129" s="48"/>
      <c r="L129" s="48"/>
      <c r="M129" s="48"/>
      <c r="N129" s="48"/>
      <c r="O129" s="48"/>
    </row>
    <row r="130" spans="1:15" hidden="1" x14ac:dyDescent="0.25">
      <c r="A130" s="2" t="s">
        <v>99</v>
      </c>
      <c r="B130" s="2"/>
      <c r="C130" s="2"/>
      <c r="D130" s="2"/>
      <c r="E130" s="2"/>
      <c r="F130" s="2"/>
      <c r="G130" s="49"/>
      <c r="H130" s="49"/>
      <c r="I130" s="49"/>
      <c r="J130" s="49"/>
      <c r="K130" s="48"/>
      <c r="L130" s="48"/>
      <c r="M130" s="48"/>
      <c r="N130" s="48"/>
      <c r="O130" s="48"/>
    </row>
    <row r="131" spans="1:15" x14ac:dyDescent="0.25">
      <c r="A131" s="2" t="s">
        <v>59</v>
      </c>
      <c r="B131" s="2"/>
      <c r="C131" s="2"/>
      <c r="D131" s="2"/>
      <c r="E131" s="6">
        <v>0</v>
      </c>
      <c r="F131" s="6"/>
      <c r="G131" s="49"/>
      <c r="H131" s="49"/>
      <c r="I131" s="49"/>
    </row>
    <row r="132" spans="1:15" hidden="1" x14ac:dyDescent="0.25">
      <c r="A132" s="2" t="s">
        <v>33</v>
      </c>
      <c r="B132" s="2"/>
      <c r="C132" s="2"/>
      <c r="D132" s="2"/>
      <c r="E132" s="2"/>
      <c r="F132" s="2"/>
      <c r="G132" s="49"/>
      <c r="H132" s="49"/>
      <c r="I132" s="49"/>
    </row>
    <row r="133" spans="1:15" x14ac:dyDescent="0.25">
      <c r="A133" s="2" t="s">
        <v>214</v>
      </c>
      <c r="B133" s="6">
        <v>187.68045000000001</v>
      </c>
      <c r="C133" s="6">
        <v>93.489990000000006</v>
      </c>
      <c r="D133" s="6">
        <v>186.68620000000001</v>
      </c>
      <c r="E133" s="6">
        <v>0</v>
      </c>
      <c r="F133" s="6"/>
      <c r="G133" s="49"/>
      <c r="H133" s="49"/>
      <c r="I133" s="49"/>
    </row>
    <row r="134" spans="1:15" x14ac:dyDescent="0.25">
      <c r="A134" s="2" t="s">
        <v>96</v>
      </c>
      <c r="B134" s="2"/>
      <c r="C134" s="6">
        <v>23.8</v>
      </c>
      <c r="D134" s="2">
        <v>15</v>
      </c>
      <c r="E134" s="14"/>
      <c r="F134" s="2"/>
      <c r="G134" s="49"/>
      <c r="H134" s="49"/>
      <c r="I134" s="49"/>
    </row>
    <row r="135" spans="1:15" x14ac:dyDescent="0.25">
      <c r="A135" s="2" t="s">
        <v>97</v>
      </c>
      <c r="B135" s="2"/>
      <c r="C135" s="2"/>
      <c r="D135" s="2"/>
      <c r="E135" s="2"/>
      <c r="F135" s="2"/>
      <c r="G135" s="49"/>
      <c r="H135" s="49"/>
      <c r="I135" s="49"/>
      <c r="J135" s="49"/>
      <c r="K135" s="48"/>
      <c r="L135" s="48"/>
      <c r="M135" s="48"/>
      <c r="N135" s="48"/>
      <c r="O135" s="48"/>
    </row>
    <row r="136" spans="1:15" x14ac:dyDescent="0.25">
      <c r="A136" s="2" t="s">
        <v>357</v>
      </c>
      <c r="B136" s="2"/>
      <c r="C136" s="2"/>
      <c r="D136" s="14"/>
      <c r="E136" s="14"/>
      <c r="F136" s="2"/>
      <c r="G136" s="49"/>
      <c r="H136" s="49"/>
      <c r="I136" s="49"/>
      <c r="J136" s="49"/>
      <c r="K136" s="48"/>
      <c r="L136" s="48"/>
      <c r="M136" s="48"/>
      <c r="N136" s="48"/>
      <c r="O136" s="48"/>
    </row>
    <row r="137" spans="1:15" x14ac:dyDescent="0.25">
      <c r="A137" s="2" t="s">
        <v>356</v>
      </c>
      <c r="B137" s="6"/>
      <c r="C137" s="6"/>
      <c r="D137" s="2"/>
      <c r="E137" s="14"/>
      <c r="F137" s="2"/>
      <c r="G137" s="49"/>
      <c r="H137" s="49"/>
      <c r="I137" s="49"/>
      <c r="J137" s="49"/>
      <c r="K137" s="48"/>
      <c r="L137" s="48"/>
      <c r="M137" s="48"/>
      <c r="N137" s="48"/>
      <c r="O137" s="48"/>
    </row>
    <row r="138" spans="1:15" x14ac:dyDescent="0.25">
      <c r="A138" s="2"/>
      <c r="B138" s="2"/>
      <c r="C138" s="2"/>
      <c r="D138" s="2"/>
      <c r="E138" s="2"/>
      <c r="F138" s="2"/>
      <c r="G138" s="49"/>
      <c r="H138" s="49"/>
      <c r="I138" s="49"/>
      <c r="J138" s="49"/>
      <c r="K138" s="48"/>
      <c r="L138" s="48"/>
      <c r="M138" s="48"/>
      <c r="N138" s="48"/>
      <c r="O138" s="48"/>
    </row>
    <row r="139" spans="1:15" x14ac:dyDescent="0.25">
      <c r="A139" s="7" t="s">
        <v>7</v>
      </c>
      <c r="B139" s="8">
        <f>SUM(B123:B138)</f>
        <v>187.68045000000001</v>
      </c>
      <c r="C139" s="8">
        <f>SUM(C123:C138)</f>
        <v>117.28999</v>
      </c>
      <c r="D139" s="8">
        <f>SUM(D123:D138)</f>
        <v>201.68620000000001</v>
      </c>
      <c r="E139" s="8">
        <f>SUM(E123:E138)</f>
        <v>0</v>
      </c>
      <c r="F139" s="8">
        <f>SUM(F123:F138)</f>
        <v>0</v>
      </c>
      <c r="G139" s="49"/>
      <c r="H139" s="49"/>
      <c r="I139" s="49"/>
      <c r="J139" s="49"/>
      <c r="K139" s="48"/>
      <c r="L139" s="48"/>
      <c r="M139" s="48"/>
      <c r="N139" s="48"/>
      <c r="O139" s="48"/>
    </row>
    <row r="140" spans="1:15" x14ac:dyDescent="0.25">
      <c r="A140" s="15" t="s">
        <v>5</v>
      </c>
      <c r="B140" s="4"/>
      <c r="C140" s="4"/>
      <c r="D140" s="4"/>
      <c r="E140" s="4"/>
      <c r="F140" s="4"/>
      <c r="G140" s="49"/>
      <c r="H140" s="49"/>
      <c r="I140" s="49"/>
      <c r="J140" s="49"/>
      <c r="K140" s="48"/>
      <c r="L140" s="48"/>
      <c r="M140" s="48"/>
      <c r="N140" s="48"/>
      <c r="O140" s="48"/>
    </row>
    <row r="141" spans="1:15" x14ac:dyDescent="0.25">
      <c r="A141" s="85" t="s">
        <v>103</v>
      </c>
      <c r="B141" s="110"/>
      <c r="C141" s="110">
        <v>125.64100000000001</v>
      </c>
      <c r="D141" s="110"/>
      <c r="E141" s="110">
        <v>46</v>
      </c>
      <c r="F141" s="110"/>
      <c r="G141" s="49"/>
      <c r="H141" s="49"/>
      <c r="I141" s="49"/>
    </row>
    <row r="142" spans="1:15" x14ac:dyDescent="0.25">
      <c r="A142" s="85" t="s">
        <v>224</v>
      </c>
      <c r="B142" s="110"/>
      <c r="C142" s="92">
        <v>57.533000000000001</v>
      </c>
      <c r="D142" s="110"/>
      <c r="E142" s="110"/>
      <c r="F142" s="110"/>
      <c r="G142" s="49"/>
      <c r="H142" s="49"/>
      <c r="I142" s="49"/>
    </row>
    <row r="143" spans="1:15" x14ac:dyDescent="0.25">
      <c r="A143" s="61" t="s">
        <v>147</v>
      </c>
      <c r="B143" s="110"/>
      <c r="C143" s="110"/>
      <c r="D143" s="110"/>
      <c r="E143" s="110">
        <v>169.161</v>
      </c>
      <c r="F143" s="110"/>
      <c r="G143" s="68"/>
      <c r="H143" s="68"/>
      <c r="I143" s="69"/>
      <c r="J143" s="49"/>
      <c r="K143" s="48"/>
      <c r="L143" s="48"/>
      <c r="M143" s="48"/>
      <c r="N143" s="48"/>
      <c r="O143" s="48"/>
    </row>
    <row r="144" spans="1:15" x14ac:dyDescent="0.25">
      <c r="A144" s="61" t="s">
        <v>152</v>
      </c>
      <c r="B144" s="110"/>
      <c r="C144" s="110"/>
      <c r="D144" s="110"/>
      <c r="E144" s="110">
        <v>16</v>
      </c>
      <c r="F144" s="110"/>
      <c r="G144" s="106">
        <f>SUM(B143:E144)</f>
        <v>185.161</v>
      </c>
      <c r="H144" s="71" t="s">
        <v>156</v>
      </c>
      <c r="I144" s="72"/>
      <c r="J144" s="49"/>
      <c r="K144" s="48"/>
      <c r="L144" s="48"/>
      <c r="M144" s="48"/>
      <c r="N144" s="48"/>
      <c r="O144" s="48"/>
    </row>
    <row r="145" spans="1:15" x14ac:dyDescent="0.25">
      <c r="A145" s="9" t="s">
        <v>29</v>
      </c>
      <c r="B145" s="110"/>
      <c r="C145" s="110">
        <v>72.956519999999998</v>
      </c>
      <c r="D145" s="110"/>
      <c r="E145" s="110"/>
      <c r="F145" s="110"/>
      <c r="G145" s="49"/>
      <c r="H145" s="49"/>
      <c r="I145" s="49"/>
      <c r="J145" s="49"/>
      <c r="K145" s="48"/>
      <c r="L145" s="48"/>
      <c r="M145" s="48"/>
      <c r="N145" s="48"/>
      <c r="O145" s="48"/>
    </row>
    <row r="146" spans="1:15" x14ac:dyDescent="0.25">
      <c r="A146" s="10" t="s">
        <v>189</v>
      </c>
      <c r="B146" s="110"/>
      <c r="C146" s="110"/>
      <c r="D146" s="110"/>
      <c r="E146" s="110"/>
      <c r="F146" s="110"/>
      <c r="G146" s="49"/>
      <c r="H146" s="49"/>
      <c r="I146" s="49"/>
      <c r="J146" s="49"/>
      <c r="K146" s="48"/>
      <c r="L146" s="48"/>
      <c r="M146" s="48"/>
      <c r="N146" s="48"/>
      <c r="O146" s="48"/>
    </row>
    <row r="147" spans="1:15" x14ac:dyDescent="0.25">
      <c r="A147" s="10" t="s">
        <v>10</v>
      </c>
      <c r="B147" s="110">
        <v>15</v>
      </c>
      <c r="C147" s="110"/>
      <c r="D147" s="110">
        <v>15</v>
      </c>
      <c r="E147" s="110"/>
      <c r="F147" s="110"/>
      <c r="G147" s="49"/>
      <c r="H147" s="49"/>
      <c r="I147" s="49"/>
      <c r="J147" s="49"/>
      <c r="K147" s="48"/>
      <c r="L147" s="48"/>
      <c r="M147" s="48"/>
      <c r="N147" s="48"/>
      <c r="O147" s="48"/>
    </row>
    <row r="148" spans="1:15" x14ac:dyDescent="0.25">
      <c r="A148" s="2" t="s">
        <v>73</v>
      </c>
      <c r="B148" s="110">
        <v>1.1838900000000001</v>
      </c>
      <c r="C148" s="110"/>
      <c r="D148" s="110"/>
      <c r="E148" s="110"/>
      <c r="F148" s="124"/>
      <c r="G148" s="49"/>
      <c r="H148" s="49"/>
      <c r="I148" s="49"/>
      <c r="J148" s="49"/>
      <c r="K148" s="48"/>
      <c r="L148" s="48"/>
      <c r="M148" s="48"/>
      <c r="N148" s="48"/>
      <c r="O148" s="48"/>
    </row>
    <row r="149" spans="1:15" x14ac:dyDescent="0.25">
      <c r="A149" s="2" t="s">
        <v>52</v>
      </c>
      <c r="B149" s="110"/>
      <c r="C149" s="110"/>
      <c r="D149" s="110"/>
      <c r="E149" s="110">
        <v>3.3353000000000002</v>
      </c>
      <c r="F149" s="124"/>
      <c r="G149" s="49"/>
      <c r="H149" s="49"/>
      <c r="I149" s="49"/>
      <c r="J149" s="49"/>
      <c r="K149" s="48"/>
      <c r="L149" s="48"/>
      <c r="M149" s="48"/>
      <c r="N149" s="48"/>
      <c r="O149" s="48"/>
    </row>
    <row r="150" spans="1:15" x14ac:dyDescent="0.25">
      <c r="A150" s="10" t="s">
        <v>12</v>
      </c>
      <c r="B150" s="110"/>
      <c r="C150" s="110">
        <v>1.6299300000000001</v>
      </c>
      <c r="D150" s="110"/>
      <c r="E150" s="110">
        <v>1.6679600000000001</v>
      </c>
      <c r="F150" s="124"/>
      <c r="G150" s="49"/>
      <c r="H150" s="49"/>
      <c r="I150" s="49"/>
      <c r="J150" s="49"/>
      <c r="K150" s="48"/>
      <c r="L150" s="48"/>
      <c r="M150" s="48"/>
      <c r="N150" s="48"/>
      <c r="O150" s="48"/>
    </row>
    <row r="151" spans="1:15" x14ac:dyDescent="0.25">
      <c r="A151" s="59" t="s">
        <v>145</v>
      </c>
      <c r="B151" s="110"/>
      <c r="C151" s="110"/>
      <c r="D151" s="110"/>
      <c r="E151" s="110">
        <v>24.475999999999999</v>
      </c>
      <c r="F151" s="110"/>
      <c r="G151" s="68"/>
      <c r="H151" s="68"/>
      <c r="I151" s="69"/>
      <c r="J151" s="49"/>
      <c r="K151" s="48"/>
      <c r="L151" s="48"/>
      <c r="M151" s="48"/>
      <c r="N151" s="48"/>
      <c r="O151" s="48"/>
    </row>
    <row r="152" spans="1:15" x14ac:dyDescent="0.25">
      <c r="A152" s="59" t="s">
        <v>146</v>
      </c>
      <c r="B152" s="110"/>
      <c r="C152" s="110"/>
      <c r="D152" s="110"/>
      <c r="E152" s="110"/>
      <c r="F152" s="110"/>
      <c r="G152" s="106">
        <f>SUM(B151:E152)</f>
        <v>24.475999999999999</v>
      </c>
      <c r="H152" s="71" t="s">
        <v>155</v>
      </c>
      <c r="I152" s="72"/>
      <c r="J152" s="49"/>
      <c r="K152" s="48"/>
      <c r="L152" s="48"/>
      <c r="M152" s="48"/>
      <c r="N152" s="48"/>
      <c r="O152" s="48"/>
    </row>
    <row r="153" spans="1:15" x14ac:dyDescent="0.25">
      <c r="A153" s="2" t="s">
        <v>24</v>
      </c>
      <c r="B153" s="110"/>
      <c r="C153" s="110"/>
      <c r="D153" s="110"/>
      <c r="E153" s="110"/>
      <c r="F153" s="110"/>
      <c r="G153" s="64"/>
      <c r="H153" s="64"/>
      <c r="I153" s="64"/>
      <c r="J153" s="49"/>
      <c r="K153" s="48"/>
      <c r="L153" s="48"/>
      <c r="M153" s="48"/>
      <c r="N153" s="48"/>
      <c r="O153" s="48"/>
    </row>
    <row r="154" spans="1:15" x14ac:dyDescent="0.25">
      <c r="A154" s="2" t="s">
        <v>68</v>
      </c>
      <c r="B154" s="110"/>
      <c r="D154" s="110"/>
      <c r="E154" s="110">
        <v>12.34074</v>
      </c>
      <c r="F154" s="110"/>
      <c r="G154" s="64"/>
      <c r="H154" s="64"/>
      <c r="I154" s="64"/>
      <c r="J154" s="49"/>
      <c r="K154" s="48"/>
      <c r="L154" s="48"/>
      <c r="M154" s="48"/>
      <c r="N154" s="48"/>
      <c r="O154" s="48"/>
    </row>
    <row r="155" spans="1:15" x14ac:dyDescent="0.25">
      <c r="A155" s="59" t="s">
        <v>148</v>
      </c>
      <c r="B155" s="110"/>
      <c r="C155" s="110"/>
      <c r="D155" s="110"/>
      <c r="E155" s="110"/>
      <c r="F155" s="110"/>
      <c r="G155" s="68"/>
      <c r="H155" s="68"/>
      <c r="I155" s="69"/>
      <c r="J155" s="49"/>
      <c r="K155" s="48"/>
      <c r="L155" s="48"/>
      <c r="M155" s="48"/>
      <c r="N155" s="48"/>
      <c r="O155" s="48"/>
    </row>
    <row r="156" spans="1:15" x14ac:dyDescent="0.25">
      <c r="A156" s="59" t="s">
        <v>149</v>
      </c>
      <c r="B156" s="110">
        <f>0.3705</f>
        <v>0.3705</v>
      </c>
      <c r="C156" s="110">
        <v>1.58568</v>
      </c>
      <c r="D156" s="110"/>
      <c r="E156" s="110"/>
      <c r="F156" s="110"/>
      <c r="G156" s="106">
        <f>SUM(B155:E156)</f>
        <v>1.95618</v>
      </c>
      <c r="H156" s="71" t="s">
        <v>157</v>
      </c>
      <c r="I156" s="72"/>
      <c r="J156" s="49"/>
      <c r="K156" s="48"/>
      <c r="L156" s="48"/>
      <c r="M156" s="48"/>
      <c r="N156" s="48"/>
      <c r="O156" s="48"/>
    </row>
    <row r="157" spans="1:15" x14ac:dyDescent="0.25">
      <c r="A157" s="59" t="s">
        <v>151</v>
      </c>
      <c r="B157" s="110"/>
      <c r="C157" s="110"/>
      <c r="D157" s="110"/>
      <c r="E157" s="110"/>
      <c r="F157" s="110"/>
      <c r="G157" s="68"/>
      <c r="H157" s="68"/>
      <c r="I157" s="69"/>
      <c r="J157" s="49"/>
      <c r="K157" s="48"/>
      <c r="L157" s="48"/>
      <c r="M157" s="48"/>
      <c r="N157" s="48"/>
      <c r="O157" s="48"/>
    </row>
    <row r="158" spans="1:15" x14ac:dyDescent="0.25">
      <c r="A158" s="59" t="s">
        <v>150</v>
      </c>
      <c r="B158" s="110">
        <v>1.6487000000000001</v>
      </c>
      <c r="C158" s="110"/>
      <c r="D158" s="110"/>
      <c r="E158" s="110">
        <v>1.2649699999999999</v>
      </c>
      <c r="F158" s="110"/>
      <c r="G158" s="106">
        <f>SUM(B157:E158)</f>
        <v>2.9136699999999998</v>
      </c>
      <c r="H158" s="71" t="s">
        <v>158</v>
      </c>
      <c r="I158" s="72"/>
      <c r="J158" s="49"/>
      <c r="K158" s="48"/>
      <c r="L158" s="48"/>
      <c r="M158" s="48"/>
      <c r="N158" s="48"/>
      <c r="O158" s="48"/>
    </row>
    <row r="159" spans="1:15" x14ac:dyDescent="0.25">
      <c r="A159" s="2" t="s">
        <v>94</v>
      </c>
      <c r="B159" s="110"/>
      <c r="C159" s="110"/>
      <c r="D159" s="110"/>
      <c r="E159" s="110"/>
      <c r="F159" s="110"/>
      <c r="G159" s="49"/>
      <c r="H159" s="49"/>
      <c r="I159" s="49"/>
      <c r="J159" s="49"/>
      <c r="K159" s="48"/>
      <c r="L159" s="48"/>
      <c r="M159" s="48"/>
      <c r="N159" s="48"/>
      <c r="O159" s="48"/>
    </row>
    <row r="160" spans="1:15" x14ac:dyDescent="0.25">
      <c r="A160" s="100" t="s">
        <v>226</v>
      </c>
      <c r="B160" s="110"/>
      <c r="C160" s="110">
        <v>165.03298699999999</v>
      </c>
      <c r="D160" s="110"/>
      <c r="E160" s="110"/>
      <c r="F160" s="110"/>
      <c r="G160" s="49"/>
      <c r="H160" s="49"/>
      <c r="I160" s="49"/>
      <c r="J160" s="49"/>
      <c r="K160" s="48"/>
      <c r="L160" s="48"/>
      <c r="M160" s="48"/>
      <c r="N160" s="48"/>
      <c r="O160" s="48"/>
    </row>
    <row r="161" spans="1:15" x14ac:dyDescent="0.25">
      <c r="A161" s="100" t="s">
        <v>193</v>
      </c>
      <c r="B161" s="110">
        <v>55.087200000000003</v>
      </c>
      <c r="C161" s="110"/>
      <c r="D161" s="110"/>
      <c r="E161" s="110"/>
      <c r="F161" s="110"/>
      <c r="G161" s="49"/>
      <c r="H161" s="49"/>
      <c r="I161" s="49"/>
      <c r="J161" s="49"/>
      <c r="K161" s="48"/>
      <c r="L161" s="48"/>
      <c r="M161" s="48"/>
      <c r="N161" s="48"/>
      <c r="O161" s="48"/>
    </row>
    <row r="162" spans="1:15" x14ac:dyDescent="0.25">
      <c r="A162" s="2" t="s">
        <v>98</v>
      </c>
      <c r="B162" s="110"/>
      <c r="C162" s="110">
        <v>4</v>
      </c>
      <c r="D162" s="110"/>
      <c r="E162" s="110"/>
      <c r="F162" s="110"/>
      <c r="G162" s="49"/>
      <c r="H162" s="49"/>
      <c r="I162" s="49"/>
      <c r="J162" s="49"/>
      <c r="K162" s="48"/>
      <c r="L162" s="48"/>
      <c r="M162" s="48"/>
      <c r="N162" s="48"/>
      <c r="O162" s="48"/>
    </row>
    <row r="163" spans="1:15" x14ac:dyDescent="0.25">
      <c r="A163" s="2" t="s">
        <v>42</v>
      </c>
      <c r="B163" s="110"/>
      <c r="C163" s="110"/>
      <c r="D163" s="110"/>
      <c r="E163" s="110"/>
      <c r="F163" s="110"/>
      <c r="G163" s="49"/>
      <c r="H163" s="49"/>
      <c r="I163" s="49"/>
      <c r="J163" s="49"/>
      <c r="K163" s="48"/>
      <c r="L163" s="48"/>
      <c r="M163" s="48"/>
      <c r="N163" s="48"/>
      <c r="O163" s="48"/>
    </row>
    <row r="164" spans="1:15" x14ac:dyDescent="0.25">
      <c r="A164" s="2" t="s">
        <v>76</v>
      </c>
      <c r="B164" s="110"/>
      <c r="C164" s="110">
        <v>0.41814000000000001</v>
      </c>
      <c r="D164" s="110">
        <v>0</v>
      </c>
      <c r="E164" s="110"/>
      <c r="F164" s="110"/>
      <c r="G164" s="49"/>
      <c r="H164" s="49"/>
      <c r="I164" s="49"/>
      <c r="J164" s="49"/>
      <c r="K164" s="48"/>
      <c r="L164" s="48"/>
      <c r="M164" s="48"/>
      <c r="N164" s="48"/>
      <c r="O164" s="48"/>
    </row>
    <row r="165" spans="1:15" x14ac:dyDescent="0.25">
      <c r="A165" s="2" t="s">
        <v>30</v>
      </c>
      <c r="D165" s="110">
        <v>4.1520000000000001</v>
      </c>
      <c r="E165" s="110"/>
      <c r="F165" s="124"/>
      <c r="G165" s="49"/>
      <c r="H165" s="49"/>
      <c r="I165" s="49"/>
      <c r="J165" s="49"/>
      <c r="K165" s="48"/>
      <c r="L165" s="48"/>
      <c r="M165" s="48"/>
      <c r="N165" s="48"/>
      <c r="O165" s="48"/>
    </row>
    <row r="166" spans="1:15" x14ac:dyDescent="0.25">
      <c r="A166" s="9" t="s">
        <v>15</v>
      </c>
      <c r="B166" s="110"/>
      <c r="C166" s="110"/>
      <c r="D166" s="110"/>
      <c r="E166" s="110">
        <v>0</v>
      </c>
      <c r="F166" s="124"/>
      <c r="G166" s="49"/>
      <c r="H166" s="49"/>
      <c r="I166" s="49"/>
      <c r="J166" s="49"/>
      <c r="K166" s="48"/>
      <c r="L166" s="48"/>
      <c r="M166" s="48"/>
      <c r="N166" s="48"/>
      <c r="O166" s="48"/>
    </row>
    <row r="167" spans="1:15" x14ac:dyDescent="0.25">
      <c r="A167" s="2" t="s">
        <v>34</v>
      </c>
      <c r="B167" s="110"/>
      <c r="C167" s="110"/>
      <c r="D167" s="110">
        <v>0</v>
      </c>
      <c r="E167" s="110">
        <v>3</v>
      </c>
      <c r="F167" s="110"/>
      <c r="G167" s="49"/>
      <c r="H167" s="49"/>
      <c r="I167" s="49"/>
      <c r="J167" s="49"/>
      <c r="K167" s="48"/>
      <c r="L167" s="48"/>
      <c r="M167" s="48"/>
      <c r="N167" s="48"/>
      <c r="O167" s="48"/>
    </row>
    <row r="168" spans="1:15" x14ac:dyDescent="0.25">
      <c r="A168" s="2" t="s">
        <v>41</v>
      </c>
      <c r="B168" s="110"/>
      <c r="C168" s="110">
        <v>0.50968999999999998</v>
      </c>
      <c r="D168" s="110"/>
      <c r="E168" s="110"/>
      <c r="F168" s="110"/>
      <c r="G168" s="49"/>
      <c r="H168" s="49"/>
      <c r="I168" s="49"/>
      <c r="J168" s="49"/>
      <c r="K168" s="48"/>
      <c r="L168" s="48"/>
      <c r="M168" s="48"/>
      <c r="N168" s="48"/>
      <c r="O168" s="48"/>
    </row>
    <row r="169" spans="1:15" x14ac:dyDescent="0.25">
      <c r="A169" s="2" t="s">
        <v>36</v>
      </c>
      <c r="B169" s="110"/>
      <c r="C169" s="92">
        <v>0.19139</v>
      </c>
      <c r="D169" s="110">
        <v>0.29670000000000002</v>
      </c>
      <c r="E169" s="110">
        <v>0</v>
      </c>
      <c r="F169" s="110"/>
      <c r="G169" s="49"/>
      <c r="H169" s="49"/>
      <c r="I169" s="49"/>
      <c r="J169" s="49"/>
      <c r="K169" s="48"/>
      <c r="L169" s="48"/>
      <c r="M169" s="48"/>
      <c r="N169" s="48"/>
      <c r="O169" s="48"/>
    </row>
    <row r="170" spans="1:15" s="1" customFormat="1" x14ac:dyDescent="0.25">
      <c r="A170" s="2" t="s">
        <v>54</v>
      </c>
      <c r="B170" s="110">
        <v>9.8122900000000008</v>
      </c>
      <c r="C170" s="110"/>
      <c r="D170" s="110"/>
      <c r="E170" s="110">
        <v>3.7484999999999999</v>
      </c>
      <c r="F170" s="110"/>
      <c r="G170" s="49"/>
      <c r="H170" s="49"/>
      <c r="I170" s="49"/>
      <c r="J170" s="49"/>
      <c r="K170" s="48"/>
      <c r="L170" s="48"/>
      <c r="M170" s="48"/>
      <c r="N170" s="48"/>
      <c r="O170" s="48"/>
    </row>
    <row r="171" spans="1:15" x14ac:dyDescent="0.25">
      <c r="A171" s="2" t="s">
        <v>23</v>
      </c>
      <c r="D171" s="110"/>
      <c r="E171" s="110">
        <v>0</v>
      </c>
      <c r="F171" s="110"/>
      <c r="G171" s="49"/>
      <c r="H171" s="49"/>
      <c r="I171" s="49"/>
    </row>
    <row r="172" spans="1:15" x14ac:dyDescent="0.25">
      <c r="A172" s="2" t="s">
        <v>40</v>
      </c>
      <c r="B172" s="86"/>
      <c r="C172" s="86">
        <v>5.4672200000000002</v>
      </c>
      <c r="D172" s="86"/>
      <c r="E172" s="86">
        <v>0</v>
      </c>
      <c r="F172" s="2"/>
      <c r="G172" s="49"/>
      <c r="H172" s="49"/>
      <c r="I172" s="49"/>
    </row>
    <row r="173" spans="1:15" x14ac:dyDescent="0.25">
      <c r="A173" s="2" t="s">
        <v>346</v>
      </c>
      <c r="B173" s="86"/>
      <c r="C173" s="86"/>
      <c r="D173" s="86"/>
      <c r="E173" s="86"/>
      <c r="F173" s="86"/>
      <c r="G173" s="49"/>
      <c r="H173" s="49"/>
      <c r="I173" s="49"/>
    </row>
    <row r="174" spans="1:15" s="1" customFormat="1" x14ac:dyDescent="0.25">
      <c r="A174" s="2" t="s">
        <v>218</v>
      </c>
      <c r="B174" s="14">
        <v>1.7845200000000001</v>
      </c>
      <c r="C174" s="110"/>
      <c r="D174" s="110"/>
      <c r="E174" s="111"/>
      <c r="F174" s="111"/>
      <c r="G174" s="49"/>
      <c r="H174" s="49"/>
      <c r="I174" s="49"/>
      <c r="J174" s="49"/>
      <c r="K174" s="48"/>
      <c r="L174" s="48"/>
      <c r="M174" s="48"/>
      <c r="N174" s="48"/>
      <c r="O174" s="48"/>
    </row>
    <row r="175" spans="1:15" x14ac:dyDescent="0.25">
      <c r="A175" s="2" t="s">
        <v>183</v>
      </c>
      <c r="B175" s="2"/>
      <c r="C175" s="6">
        <v>1.68086</v>
      </c>
      <c r="D175" s="110">
        <v>0</v>
      </c>
      <c r="E175" s="110">
        <v>0</v>
      </c>
      <c r="F175" s="110"/>
      <c r="G175" s="49"/>
      <c r="H175" s="49"/>
      <c r="I175" s="49"/>
    </row>
    <row r="176" spans="1:15" x14ac:dyDescent="0.25">
      <c r="A176" s="2" t="s">
        <v>355</v>
      </c>
      <c r="B176" s="110">
        <v>39.954740000000001</v>
      </c>
      <c r="C176" s="110"/>
      <c r="E176" s="110"/>
      <c r="F176" s="110"/>
      <c r="G176" s="1"/>
      <c r="H176" s="1"/>
      <c r="I176" s="1"/>
    </row>
    <row r="177" spans="1:15" x14ac:dyDescent="0.25">
      <c r="A177" s="2" t="s">
        <v>363</v>
      </c>
      <c r="B177" s="110"/>
      <c r="C177" s="110">
        <v>2.1</v>
      </c>
      <c r="D177" s="110"/>
      <c r="E177" s="110"/>
      <c r="F177" s="110"/>
      <c r="G177" s="1"/>
      <c r="H177" s="1"/>
      <c r="I177" s="1"/>
    </row>
    <row r="178" spans="1:15" x14ac:dyDescent="0.25">
      <c r="A178" s="2" t="s">
        <v>35</v>
      </c>
      <c r="B178" s="86"/>
      <c r="C178" s="86">
        <v>1.8</v>
      </c>
      <c r="D178" s="86"/>
      <c r="E178" s="86">
        <v>0</v>
      </c>
      <c r="F178" s="86"/>
      <c r="G178" s="49"/>
      <c r="H178" s="49"/>
      <c r="I178" s="49"/>
    </row>
    <row r="179" spans="1:15" x14ac:dyDescent="0.25">
      <c r="A179" s="10" t="s">
        <v>9</v>
      </c>
      <c r="B179" s="110"/>
      <c r="C179" s="2"/>
      <c r="D179" s="2"/>
      <c r="E179" s="86"/>
      <c r="F179" s="86"/>
      <c r="G179" s="49"/>
      <c r="H179" s="49"/>
      <c r="I179" s="49"/>
      <c r="J179" s="49"/>
      <c r="K179" s="48"/>
      <c r="L179" s="48"/>
      <c r="M179" s="48"/>
      <c r="N179" s="48"/>
      <c r="O179" s="48"/>
    </row>
    <row r="180" spans="1:15" x14ac:dyDescent="0.25">
      <c r="A180" s="2" t="s">
        <v>111</v>
      </c>
      <c r="B180" s="86">
        <v>3.7504300000000002</v>
      </c>
      <c r="C180" s="2"/>
      <c r="D180" s="86"/>
      <c r="E180" s="86"/>
      <c r="F180" s="86"/>
      <c r="G180" s="49"/>
      <c r="H180" s="49"/>
      <c r="I180" s="49"/>
      <c r="J180" s="49"/>
      <c r="K180" s="48"/>
      <c r="L180" s="48"/>
      <c r="M180" s="48"/>
      <c r="N180" s="48"/>
      <c r="O180" s="48"/>
    </row>
    <row r="181" spans="1:15" x14ac:dyDescent="0.25">
      <c r="A181" s="10" t="s">
        <v>354</v>
      </c>
      <c r="B181" s="86"/>
      <c r="C181" s="86">
        <v>11.781000000000001</v>
      </c>
      <c r="D181" s="86"/>
      <c r="E181" s="86">
        <v>2.9750000000000001</v>
      </c>
      <c r="F181" s="125"/>
      <c r="G181" s="64"/>
      <c r="H181" s="64"/>
      <c r="I181" s="64"/>
      <c r="J181" s="49"/>
      <c r="K181" s="48"/>
      <c r="L181" s="48"/>
      <c r="M181" s="48"/>
      <c r="N181" s="48"/>
      <c r="O181" s="48"/>
    </row>
    <row r="182" spans="1:15" x14ac:dyDescent="0.25">
      <c r="A182" s="2" t="s">
        <v>188</v>
      </c>
      <c r="B182" s="86"/>
      <c r="D182" s="86"/>
      <c r="E182" s="86">
        <v>0</v>
      </c>
      <c r="F182" s="86"/>
      <c r="G182" s="49"/>
      <c r="H182" s="49"/>
      <c r="I182" s="49"/>
    </row>
    <row r="183" spans="1:15" x14ac:dyDescent="0.25">
      <c r="A183" s="123" t="s">
        <v>182</v>
      </c>
      <c r="B183" s="110"/>
      <c r="C183" s="110"/>
      <c r="D183" s="110"/>
      <c r="E183" s="110"/>
      <c r="F183" s="110"/>
      <c r="G183" s="49"/>
      <c r="H183" s="49"/>
      <c r="I183" s="49"/>
    </row>
    <row r="184" spans="1:15" x14ac:dyDescent="0.25">
      <c r="A184" s="2" t="s">
        <v>211</v>
      </c>
      <c r="B184" s="2"/>
      <c r="D184" s="110">
        <v>13.09</v>
      </c>
      <c r="E184" s="110"/>
      <c r="F184" s="110"/>
      <c r="G184" s="49"/>
      <c r="H184" s="49"/>
      <c r="I184" s="49"/>
      <c r="J184" s="49"/>
      <c r="K184" s="48"/>
      <c r="L184" s="48"/>
      <c r="M184" s="48"/>
      <c r="N184" s="48"/>
      <c r="O184" s="48"/>
    </row>
    <row r="185" spans="1:15" x14ac:dyDescent="0.25">
      <c r="A185" s="2" t="s">
        <v>91</v>
      </c>
      <c r="B185" s="86"/>
      <c r="C185" s="86"/>
      <c r="D185" s="86"/>
      <c r="E185" s="86"/>
      <c r="F185" s="86"/>
      <c r="G185" s="49"/>
      <c r="H185" s="49"/>
      <c r="I185" s="49"/>
    </row>
    <row r="186" spans="1:15" x14ac:dyDescent="0.25">
      <c r="A186" s="112" t="s">
        <v>228</v>
      </c>
      <c r="B186" s="2"/>
      <c r="C186" s="110"/>
      <c r="D186" s="110"/>
      <c r="E186" s="110"/>
      <c r="F186" s="110"/>
      <c r="G186" s="49"/>
      <c r="H186" s="49"/>
      <c r="I186" s="49"/>
      <c r="J186" s="49"/>
      <c r="K186" s="48"/>
      <c r="L186" s="48"/>
      <c r="M186" s="48"/>
      <c r="N186" s="48"/>
      <c r="O186" s="48"/>
    </row>
    <row r="187" spans="1:15" x14ac:dyDescent="0.25">
      <c r="A187" s="2" t="s">
        <v>22</v>
      </c>
      <c r="B187" s="110"/>
      <c r="C187" s="110"/>
      <c r="D187" s="110"/>
      <c r="E187" s="110"/>
      <c r="F187" s="110"/>
      <c r="G187" s="49"/>
      <c r="H187" s="49"/>
      <c r="I187" s="49"/>
    </row>
    <row r="188" spans="1:15" x14ac:dyDescent="0.25">
      <c r="A188" s="10" t="s">
        <v>13</v>
      </c>
      <c r="B188" s="110"/>
      <c r="C188" s="110"/>
      <c r="D188" s="110"/>
      <c r="E188" s="110"/>
      <c r="F188" s="110"/>
      <c r="G188" s="49"/>
      <c r="H188" s="49"/>
      <c r="I188" s="49"/>
      <c r="J188" s="49"/>
      <c r="K188" s="48"/>
      <c r="L188" s="48"/>
      <c r="M188" s="48"/>
      <c r="N188" s="48"/>
      <c r="O188" s="48"/>
    </row>
    <row r="189" spans="1:15" x14ac:dyDescent="0.25">
      <c r="A189" s="2" t="s">
        <v>209</v>
      </c>
      <c r="B189" s="110"/>
      <c r="C189" s="110"/>
      <c r="D189" s="110"/>
      <c r="E189" s="110">
        <v>41.4</v>
      </c>
      <c r="F189" s="110"/>
      <c r="G189" s="49"/>
      <c r="H189" s="49"/>
      <c r="I189" s="49"/>
    </row>
    <row r="190" spans="1:15" x14ac:dyDescent="0.25">
      <c r="A190" s="2" t="s">
        <v>208</v>
      </c>
      <c r="B190" s="110"/>
      <c r="C190" s="110"/>
      <c r="D190" s="110"/>
      <c r="E190" s="110"/>
      <c r="F190" s="110"/>
      <c r="G190" s="49"/>
      <c r="H190" s="49"/>
      <c r="I190" s="49"/>
    </row>
    <row r="191" spans="1:15" x14ac:dyDescent="0.25">
      <c r="A191" s="2" t="s">
        <v>223</v>
      </c>
      <c r="B191" s="110"/>
      <c r="C191" s="110"/>
      <c r="D191" s="110"/>
      <c r="E191" s="110"/>
      <c r="F191" s="110"/>
      <c r="G191" s="49"/>
      <c r="H191" s="49"/>
      <c r="I191" s="49"/>
    </row>
    <row r="192" spans="1:15" x14ac:dyDescent="0.25">
      <c r="A192" s="2" t="s">
        <v>225</v>
      </c>
      <c r="B192" s="110"/>
      <c r="C192" s="110"/>
      <c r="D192" s="110"/>
      <c r="E192" s="110"/>
      <c r="F192" s="110"/>
      <c r="G192" s="49"/>
      <c r="H192" s="49"/>
      <c r="I192" s="49"/>
    </row>
    <row r="193" spans="1:15" x14ac:dyDescent="0.25">
      <c r="A193" s="2" t="s">
        <v>227</v>
      </c>
      <c r="B193" s="86"/>
      <c r="C193" s="86"/>
      <c r="D193" s="86"/>
      <c r="E193" s="2"/>
      <c r="F193" s="2"/>
      <c r="G193" s="49"/>
      <c r="H193" s="49"/>
      <c r="I193" s="49"/>
    </row>
    <row r="194" spans="1:15" hidden="1" x14ac:dyDescent="0.25">
      <c r="A194" s="2" t="s">
        <v>190</v>
      </c>
      <c r="B194" s="2"/>
      <c r="C194" s="86"/>
      <c r="D194" s="2"/>
      <c r="E194" s="86"/>
      <c r="F194" s="86"/>
      <c r="G194" s="49"/>
      <c r="H194" s="49"/>
      <c r="I194" s="49"/>
    </row>
    <row r="195" spans="1:15" hidden="1" x14ac:dyDescent="0.25">
      <c r="A195" s="2" t="s">
        <v>202</v>
      </c>
      <c r="B195" s="86"/>
      <c r="C195" s="86"/>
      <c r="D195" s="86"/>
      <c r="E195" s="86"/>
      <c r="F195" s="86"/>
      <c r="G195" s="49"/>
      <c r="H195" s="49"/>
      <c r="I195" s="49"/>
    </row>
    <row r="196" spans="1:15" hidden="1" x14ac:dyDescent="0.25">
      <c r="A196" s="2" t="s">
        <v>210</v>
      </c>
      <c r="B196" s="2"/>
      <c r="C196" s="86"/>
      <c r="D196" s="86"/>
      <c r="E196" s="86"/>
      <c r="F196" s="86"/>
      <c r="G196" s="49"/>
      <c r="H196" s="49"/>
      <c r="I196" s="49"/>
    </row>
    <row r="197" spans="1:15" hidden="1" x14ac:dyDescent="0.25">
      <c r="A197" s="2" t="s">
        <v>215</v>
      </c>
      <c r="B197" s="86"/>
      <c r="C197" s="86"/>
      <c r="D197" s="86"/>
      <c r="E197" s="86"/>
      <c r="F197" s="86"/>
      <c r="G197" s="49"/>
      <c r="H197" s="49"/>
      <c r="I197" s="49"/>
    </row>
    <row r="198" spans="1:15" hidden="1" x14ac:dyDescent="0.25">
      <c r="A198" s="2" t="s">
        <v>62</v>
      </c>
      <c r="B198" s="86"/>
      <c r="C198" s="86"/>
      <c r="D198" s="86"/>
      <c r="E198" s="86"/>
      <c r="F198" s="86"/>
      <c r="G198" s="49"/>
      <c r="H198" s="49"/>
      <c r="I198" s="49"/>
      <c r="J198" s="49"/>
      <c r="K198" s="48"/>
      <c r="L198" s="48"/>
      <c r="M198" s="48"/>
      <c r="N198" s="48"/>
      <c r="O198" s="48"/>
    </row>
    <row r="199" spans="1:15" hidden="1" x14ac:dyDescent="0.25">
      <c r="A199" s="2" t="s">
        <v>80</v>
      </c>
      <c r="B199" s="86"/>
      <c r="C199" s="86"/>
      <c r="D199" s="86"/>
      <c r="E199" s="86"/>
      <c r="F199" s="86"/>
      <c r="G199" s="49"/>
      <c r="H199" s="49"/>
      <c r="I199" s="49"/>
      <c r="J199" s="49"/>
      <c r="K199" s="48"/>
      <c r="L199" s="48"/>
      <c r="M199" s="48"/>
      <c r="N199" s="48"/>
      <c r="O199" s="48"/>
    </row>
    <row r="200" spans="1:15" hidden="1" x14ac:dyDescent="0.25">
      <c r="A200" s="2" t="s">
        <v>43</v>
      </c>
      <c r="B200" s="86"/>
      <c r="C200" s="86"/>
      <c r="D200" s="86"/>
      <c r="E200" s="86"/>
      <c r="F200" s="86"/>
      <c r="G200" s="49"/>
      <c r="H200" s="49"/>
      <c r="I200" s="49"/>
      <c r="J200" s="49"/>
      <c r="K200" s="48"/>
      <c r="L200" s="48"/>
      <c r="M200" s="48"/>
      <c r="N200" s="48"/>
      <c r="O200" s="48"/>
    </row>
    <row r="201" spans="1:15" hidden="1" x14ac:dyDescent="0.25">
      <c r="A201" s="9" t="s">
        <v>8</v>
      </c>
      <c r="B201" s="2"/>
      <c r="C201" s="2"/>
      <c r="D201" s="86"/>
      <c r="E201" s="86"/>
      <c r="F201" s="86"/>
      <c r="G201" s="49"/>
      <c r="H201" s="49"/>
      <c r="I201" s="49"/>
    </row>
    <row r="202" spans="1:15" hidden="1" x14ac:dyDescent="0.25">
      <c r="A202" s="2" t="s">
        <v>25</v>
      </c>
      <c r="B202" s="2"/>
      <c r="C202" s="86"/>
      <c r="D202" s="86"/>
      <c r="E202" s="2"/>
      <c r="F202" s="2"/>
      <c r="G202" s="64"/>
      <c r="H202" s="64"/>
      <c r="I202" s="64"/>
      <c r="J202" s="49"/>
      <c r="K202" s="48"/>
      <c r="L202" s="48"/>
      <c r="M202" s="48"/>
      <c r="N202" s="48"/>
      <c r="O202" s="48"/>
    </row>
    <row r="203" spans="1:15" hidden="1" x14ac:dyDescent="0.25">
      <c r="A203" s="2" t="s">
        <v>71</v>
      </c>
      <c r="B203" s="86"/>
      <c r="C203" s="109"/>
      <c r="D203" s="109"/>
      <c r="E203" s="109"/>
      <c r="F203" s="109"/>
      <c r="G203" s="49"/>
      <c r="H203" s="49"/>
      <c r="I203" s="49"/>
      <c r="J203" s="49"/>
      <c r="K203" s="48"/>
      <c r="L203" s="48"/>
      <c r="M203" s="48"/>
      <c r="N203" s="48"/>
      <c r="O203" s="48"/>
    </row>
    <row r="204" spans="1:15" hidden="1" x14ac:dyDescent="0.25">
      <c r="A204" s="2" t="s">
        <v>216</v>
      </c>
      <c r="B204" s="86"/>
      <c r="C204" s="86"/>
      <c r="D204" s="86"/>
      <c r="E204" s="86"/>
      <c r="F204" s="86"/>
      <c r="G204" s="49"/>
      <c r="H204" s="49"/>
      <c r="I204" s="49"/>
    </row>
    <row r="205" spans="1:15" hidden="1" x14ac:dyDescent="0.25">
      <c r="A205" s="2" t="s">
        <v>86</v>
      </c>
      <c r="B205" s="86"/>
      <c r="C205" s="86"/>
      <c r="D205" s="86"/>
      <c r="E205" s="86"/>
      <c r="F205" s="86"/>
      <c r="G205" s="49"/>
      <c r="H205" s="49"/>
      <c r="I205" s="49"/>
      <c r="J205" s="49"/>
      <c r="K205" s="48"/>
      <c r="L205" s="48"/>
      <c r="M205" s="48"/>
      <c r="N205" s="48"/>
      <c r="O205" s="48"/>
    </row>
    <row r="206" spans="1:15" hidden="1" x14ac:dyDescent="0.25">
      <c r="A206" s="2" t="s">
        <v>100</v>
      </c>
      <c r="B206" s="86"/>
      <c r="C206" s="86"/>
      <c r="D206" s="86"/>
      <c r="E206" s="86"/>
      <c r="F206" s="86"/>
      <c r="G206" s="49"/>
      <c r="H206" s="49"/>
      <c r="I206" s="49"/>
    </row>
    <row r="207" spans="1:15" hidden="1" x14ac:dyDescent="0.25">
      <c r="A207" s="2" t="s">
        <v>66</v>
      </c>
      <c r="B207" s="86"/>
      <c r="C207" s="86"/>
      <c r="D207" s="86"/>
      <c r="E207" s="86"/>
      <c r="F207" s="86"/>
      <c r="G207" s="49"/>
      <c r="H207" s="49"/>
      <c r="I207" s="49"/>
    </row>
    <row r="208" spans="1:15" hidden="1" x14ac:dyDescent="0.25">
      <c r="A208" s="2" t="s">
        <v>166</v>
      </c>
      <c r="B208" s="86"/>
      <c r="C208" s="86"/>
      <c r="D208" s="86"/>
      <c r="E208" s="86"/>
      <c r="F208" s="86"/>
      <c r="G208" s="49"/>
      <c r="H208" s="49"/>
      <c r="I208" s="49"/>
    </row>
    <row r="209" spans="1:15" hidden="1" x14ac:dyDescent="0.25">
      <c r="A209" s="2" t="s">
        <v>48</v>
      </c>
      <c r="B209" s="86"/>
      <c r="C209" s="86"/>
      <c r="D209" s="86"/>
      <c r="E209" s="2"/>
      <c r="F209" s="2"/>
      <c r="G209" s="49"/>
      <c r="H209" s="49"/>
      <c r="I209" s="49"/>
    </row>
    <row r="210" spans="1:15" hidden="1" x14ac:dyDescent="0.25">
      <c r="A210" s="2" t="s">
        <v>169</v>
      </c>
      <c r="B210" s="86"/>
      <c r="C210" s="86"/>
      <c r="D210" s="86"/>
      <c r="E210" s="86"/>
      <c r="F210" s="86"/>
      <c r="G210" s="49"/>
      <c r="H210" s="49"/>
      <c r="I210" s="49"/>
      <c r="J210" s="49"/>
      <c r="K210" s="48"/>
      <c r="L210" s="48"/>
      <c r="M210" s="48"/>
      <c r="N210" s="48"/>
      <c r="O210" s="48"/>
    </row>
    <row r="211" spans="1:15" hidden="1" x14ac:dyDescent="0.25">
      <c r="A211" s="2" t="s">
        <v>170</v>
      </c>
      <c r="B211" s="86"/>
      <c r="C211" s="86"/>
      <c r="D211" s="86"/>
      <c r="E211" s="86"/>
      <c r="F211" s="86"/>
      <c r="G211" s="49"/>
      <c r="H211" s="49"/>
      <c r="I211" s="49"/>
      <c r="J211" s="49"/>
      <c r="K211" s="48"/>
      <c r="L211" s="48"/>
      <c r="M211" s="48"/>
      <c r="N211" s="48"/>
      <c r="O211" s="48"/>
    </row>
    <row r="212" spans="1:15" hidden="1" x14ac:dyDescent="0.25">
      <c r="A212" s="2" t="s">
        <v>171</v>
      </c>
      <c r="B212" s="86"/>
      <c r="C212" s="86"/>
      <c r="D212" s="86"/>
      <c r="E212" s="86"/>
      <c r="F212" s="86"/>
      <c r="G212" s="49"/>
      <c r="H212" s="49"/>
      <c r="I212" s="49"/>
      <c r="J212" s="49"/>
      <c r="K212" s="48"/>
      <c r="L212" s="48"/>
      <c r="M212" s="48"/>
      <c r="N212" s="48"/>
      <c r="O212" s="48"/>
    </row>
    <row r="213" spans="1:15" hidden="1" x14ac:dyDescent="0.25">
      <c r="A213" s="2" t="s">
        <v>45</v>
      </c>
      <c r="B213" s="86"/>
      <c r="C213" s="86"/>
      <c r="D213" s="86"/>
      <c r="E213" s="86"/>
      <c r="F213" s="86"/>
      <c r="G213" s="49"/>
      <c r="H213" s="49"/>
      <c r="I213" s="49"/>
      <c r="J213" s="49"/>
      <c r="K213" s="48"/>
      <c r="L213" s="48"/>
      <c r="M213" s="48"/>
      <c r="N213" s="48"/>
      <c r="O213" s="48"/>
    </row>
    <row r="214" spans="1:15" hidden="1" x14ac:dyDescent="0.25">
      <c r="A214" s="2" t="s">
        <v>56</v>
      </c>
      <c r="B214" s="86"/>
      <c r="C214" s="86"/>
      <c r="D214" s="86"/>
      <c r="E214" s="86"/>
      <c r="F214" s="86"/>
      <c r="G214" s="49"/>
      <c r="H214" s="49"/>
      <c r="I214" s="49"/>
      <c r="J214" s="49"/>
      <c r="K214" s="48"/>
      <c r="L214" s="48"/>
      <c r="M214" s="48"/>
      <c r="N214" s="48"/>
      <c r="O214" s="48"/>
    </row>
    <row r="215" spans="1:15" hidden="1" x14ac:dyDescent="0.25">
      <c r="A215" s="2" t="s">
        <v>53</v>
      </c>
      <c r="B215" s="86"/>
      <c r="C215" s="86"/>
      <c r="D215" s="86"/>
      <c r="E215" s="86"/>
      <c r="F215" s="86"/>
      <c r="G215" s="64"/>
      <c r="H215" s="64"/>
      <c r="I215" s="64"/>
      <c r="J215" s="49"/>
      <c r="K215" s="48"/>
      <c r="L215" s="48"/>
      <c r="M215" s="48"/>
      <c r="N215" s="48"/>
      <c r="O215" s="48"/>
    </row>
    <row r="216" spans="1:15" hidden="1" x14ac:dyDescent="0.25">
      <c r="A216" s="2" t="s">
        <v>79</v>
      </c>
      <c r="B216" s="86"/>
      <c r="C216" s="86"/>
      <c r="D216" s="86"/>
      <c r="E216" s="86"/>
      <c r="F216" s="86"/>
      <c r="G216" s="49"/>
      <c r="H216" s="49"/>
      <c r="I216" s="49"/>
      <c r="J216" s="49"/>
      <c r="K216" s="48"/>
      <c r="L216" s="48"/>
      <c r="M216" s="48"/>
      <c r="N216" s="48"/>
      <c r="O216" s="48"/>
    </row>
    <row r="217" spans="1:15" s="1" customFormat="1" hidden="1" x14ac:dyDescent="0.25">
      <c r="A217" s="2" t="s">
        <v>110</v>
      </c>
      <c r="B217" s="86"/>
      <c r="C217" s="86"/>
      <c r="D217" s="86"/>
      <c r="E217" s="86"/>
      <c r="F217" s="86"/>
      <c r="G217" s="49"/>
      <c r="H217" s="49"/>
      <c r="I217" s="49"/>
      <c r="J217" s="49"/>
      <c r="K217" s="48"/>
      <c r="L217" s="48"/>
      <c r="M217" s="48"/>
      <c r="N217" s="48"/>
      <c r="O217" s="48"/>
    </row>
    <row r="218" spans="1:15" hidden="1" x14ac:dyDescent="0.25">
      <c r="A218" s="2" t="s">
        <v>85</v>
      </c>
      <c r="B218" s="86"/>
      <c r="C218" s="86"/>
      <c r="D218" s="86"/>
      <c r="E218" s="86"/>
      <c r="F218" s="86"/>
      <c r="G218" s="49"/>
      <c r="H218" s="49"/>
      <c r="I218" s="49"/>
      <c r="J218" s="49"/>
      <c r="K218" s="48"/>
      <c r="L218" s="48"/>
      <c r="M218" s="48"/>
      <c r="N218" s="48"/>
      <c r="O218" s="48"/>
    </row>
    <row r="219" spans="1:15" hidden="1" x14ac:dyDescent="0.25">
      <c r="A219" s="10" t="s">
        <v>14</v>
      </c>
      <c r="B219" s="86"/>
      <c r="C219" s="86"/>
      <c r="D219" s="86"/>
      <c r="E219" s="86"/>
      <c r="F219" s="86"/>
      <c r="G219" s="49"/>
      <c r="H219" s="49"/>
      <c r="I219" s="49"/>
    </row>
    <row r="220" spans="1:15" hidden="1" x14ac:dyDescent="0.25">
      <c r="A220" s="2" t="s">
        <v>38</v>
      </c>
      <c r="B220" s="86"/>
      <c r="C220" s="86"/>
      <c r="D220" s="86"/>
      <c r="E220" s="86"/>
      <c r="F220" s="86"/>
      <c r="G220" s="49"/>
      <c r="H220" s="49"/>
      <c r="I220" s="49"/>
    </row>
    <row r="221" spans="1:15" hidden="1" x14ac:dyDescent="0.25">
      <c r="A221" s="2" t="s">
        <v>63</v>
      </c>
      <c r="B221" s="86"/>
      <c r="C221" s="86"/>
      <c r="D221" s="86"/>
      <c r="E221" s="86"/>
      <c r="F221" s="86"/>
      <c r="G221" s="49"/>
      <c r="H221" s="49"/>
      <c r="I221" s="49"/>
    </row>
    <row r="222" spans="1:15" hidden="1" x14ac:dyDescent="0.25">
      <c r="A222" s="2" t="s">
        <v>77</v>
      </c>
      <c r="B222" s="86"/>
      <c r="C222" s="86"/>
      <c r="D222" s="86"/>
      <c r="E222" s="86"/>
      <c r="F222" s="86"/>
      <c r="G222" s="49"/>
      <c r="H222" s="49"/>
      <c r="I222" s="49"/>
    </row>
    <row r="223" spans="1:15" hidden="1" x14ac:dyDescent="0.25">
      <c r="A223" s="10" t="s">
        <v>102</v>
      </c>
      <c r="B223" s="86"/>
      <c r="C223" s="86"/>
      <c r="D223" s="86"/>
      <c r="E223" s="86"/>
      <c r="F223" s="86"/>
      <c r="G223" s="49"/>
      <c r="H223" s="49"/>
      <c r="I223" s="49"/>
    </row>
    <row r="224" spans="1:15" hidden="1" x14ac:dyDescent="0.25">
      <c r="A224" s="10" t="s">
        <v>11</v>
      </c>
      <c r="B224" s="86"/>
      <c r="C224" s="86"/>
      <c r="D224" s="86"/>
      <c r="E224" s="86"/>
      <c r="F224" s="86"/>
      <c r="G224" s="49"/>
      <c r="H224" s="49"/>
      <c r="I224" s="49"/>
    </row>
    <row r="225" spans="1:9" hidden="1" x14ac:dyDescent="0.25">
      <c r="A225" s="10" t="s">
        <v>95</v>
      </c>
      <c r="B225" s="86"/>
      <c r="C225" s="86"/>
      <c r="D225" s="86"/>
      <c r="E225" s="86"/>
      <c r="F225" s="86"/>
      <c r="G225" s="49"/>
      <c r="H225" s="49"/>
      <c r="I225" s="49"/>
    </row>
    <row r="226" spans="1:9" hidden="1" x14ac:dyDescent="0.25">
      <c r="A226" s="2" t="s">
        <v>92</v>
      </c>
      <c r="B226" s="86"/>
      <c r="C226" s="86"/>
      <c r="D226" s="86"/>
      <c r="E226" s="86"/>
      <c r="F226" s="86"/>
      <c r="G226" s="49"/>
      <c r="H226" s="49"/>
      <c r="I226" s="49"/>
    </row>
    <row r="227" spans="1:9" hidden="1" x14ac:dyDescent="0.25">
      <c r="A227" s="2" t="s">
        <v>89</v>
      </c>
      <c r="B227" s="86"/>
      <c r="C227" s="86"/>
      <c r="D227" s="86"/>
      <c r="E227" s="86"/>
      <c r="F227" s="86"/>
      <c r="G227" s="49"/>
      <c r="H227" s="49"/>
      <c r="I227" s="49"/>
    </row>
    <row r="228" spans="1:9" hidden="1" x14ac:dyDescent="0.25">
      <c r="A228" s="2" t="s">
        <v>90</v>
      </c>
      <c r="B228" s="86"/>
      <c r="C228" s="86"/>
      <c r="D228" s="86"/>
      <c r="E228" s="86"/>
      <c r="F228" s="86"/>
      <c r="G228" s="49"/>
      <c r="H228" s="49"/>
      <c r="I228" s="49"/>
    </row>
    <row r="229" spans="1:9" hidden="1" x14ac:dyDescent="0.25">
      <c r="A229" s="2" t="s">
        <v>87</v>
      </c>
      <c r="B229" s="86"/>
      <c r="C229" s="86"/>
      <c r="D229" s="86"/>
      <c r="E229" s="86"/>
      <c r="F229" s="86"/>
      <c r="G229" s="49"/>
      <c r="H229" s="49"/>
      <c r="I229" s="49"/>
    </row>
    <row r="230" spans="1:9" hidden="1" x14ac:dyDescent="0.25">
      <c r="A230" s="2" t="s">
        <v>83</v>
      </c>
      <c r="B230" s="86"/>
      <c r="C230" s="86"/>
      <c r="D230" s="86"/>
      <c r="E230" s="86"/>
      <c r="F230" s="86"/>
      <c r="G230" s="49"/>
      <c r="H230" s="49"/>
      <c r="I230" s="49"/>
    </row>
    <row r="231" spans="1:9" hidden="1" x14ac:dyDescent="0.25">
      <c r="A231" s="2" t="s">
        <v>46</v>
      </c>
      <c r="B231" s="86"/>
      <c r="C231" s="86"/>
      <c r="D231" s="86"/>
      <c r="E231" s="86"/>
      <c r="F231" s="86"/>
      <c r="G231" s="49"/>
      <c r="H231" s="49"/>
      <c r="I231" s="49"/>
    </row>
    <row r="232" spans="1:9" x14ac:dyDescent="0.25">
      <c r="A232" s="2" t="s">
        <v>58</v>
      </c>
      <c r="B232" s="86">
        <v>0.47599999999999998</v>
      </c>
      <c r="C232" s="86"/>
      <c r="D232" s="86"/>
      <c r="E232" s="86"/>
      <c r="F232" s="86"/>
      <c r="G232" s="49"/>
      <c r="H232" s="49"/>
      <c r="I232" s="49"/>
    </row>
    <row r="233" spans="1:9" hidden="1" x14ac:dyDescent="0.25">
      <c r="A233" s="2" t="s">
        <v>78</v>
      </c>
      <c r="B233" s="86"/>
      <c r="C233" s="86"/>
      <c r="D233" s="86"/>
      <c r="E233" s="86"/>
      <c r="F233" s="86"/>
      <c r="G233" s="49"/>
      <c r="H233" s="49"/>
      <c r="I233" s="49"/>
    </row>
    <row r="234" spans="1:9" hidden="1" x14ac:dyDescent="0.25">
      <c r="A234" s="2" t="s">
        <v>37</v>
      </c>
      <c r="B234" s="86"/>
      <c r="C234" s="86"/>
      <c r="D234" s="86"/>
      <c r="E234" s="86"/>
      <c r="F234" s="86"/>
      <c r="G234" s="49"/>
      <c r="H234" s="49"/>
      <c r="I234" s="49"/>
    </row>
    <row r="235" spans="1:9" hidden="1" x14ac:dyDescent="0.25">
      <c r="A235" s="2" t="s">
        <v>75</v>
      </c>
      <c r="B235" s="86"/>
      <c r="C235" s="86"/>
      <c r="D235" s="86"/>
      <c r="E235" s="86"/>
      <c r="F235" s="86"/>
      <c r="G235" s="49"/>
      <c r="H235" s="49"/>
      <c r="I235" s="49"/>
    </row>
    <row r="236" spans="1:9" hidden="1" x14ac:dyDescent="0.25">
      <c r="A236" s="2" t="s">
        <v>18</v>
      </c>
      <c r="B236" s="86"/>
      <c r="C236" s="86"/>
      <c r="D236" s="86"/>
      <c r="E236" s="86"/>
      <c r="F236" s="86"/>
      <c r="G236" s="49"/>
      <c r="H236" s="49"/>
      <c r="I236" s="49"/>
    </row>
    <row r="237" spans="1:9" hidden="1" x14ac:dyDescent="0.25">
      <c r="A237" s="2" t="s">
        <v>51</v>
      </c>
      <c r="B237" s="86"/>
      <c r="C237" s="86"/>
      <c r="D237" s="86"/>
      <c r="E237" s="86"/>
      <c r="F237" s="86"/>
      <c r="G237" s="49"/>
      <c r="H237" s="49"/>
      <c r="I237" s="49"/>
    </row>
    <row r="238" spans="1:9" hidden="1" x14ac:dyDescent="0.25">
      <c r="A238" s="2" t="s">
        <v>72</v>
      </c>
      <c r="B238" s="86"/>
      <c r="C238" s="86"/>
      <c r="D238" s="86"/>
      <c r="E238" s="86"/>
      <c r="F238" s="86"/>
      <c r="G238" s="49"/>
      <c r="H238" s="49"/>
      <c r="I238" s="49"/>
    </row>
    <row r="239" spans="1:9" hidden="1" x14ac:dyDescent="0.25">
      <c r="A239" s="2" t="s">
        <v>69</v>
      </c>
      <c r="B239" s="86"/>
      <c r="C239" s="86"/>
      <c r="D239" s="86"/>
      <c r="E239" s="86"/>
      <c r="F239" s="86"/>
      <c r="G239" s="49"/>
      <c r="H239" s="49"/>
      <c r="I239" s="49"/>
    </row>
    <row r="240" spans="1:9" hidden="1" x14ac:dyDescent="0.25">
      <c r="A240" s="2" t="s">
        <v>67</v>
      </c>
      <c r="B240" s="86"/>
      <c r="C240" s="86"/>
      <c r="D240" s="86"/>
      <c r="E240" s="86"/>
      <c r="F240" s="86"/>
      <c r="G240" s="49"/>
      <c r="H240" s="49"/>
      <c r="I240" s="49"/>
    </row>
    <row r="241" spans="1:9" hidden="1" x14ac:dyDescent="0.25">
      <c r="A241" s="2" t="s">
        <v>70</v>
      </c>
      <c r="B241" s="86"/>
      <c r="C241" s="86"/>
      <c r="D241" s="86"/>
      <c r="E241" s="86"/>
      <c r="F241" s="86"/>
      <c r="G241" s="49"/>
      <c r="H241" s="49"/>
      <c r="I241" s="49"/>
    </row>
    <row r="242" spans="1:9" hidden="1" x14ac:dyDescent="0.25">
      <c r="A242" s="10" t="s">
        <v>65</v>
      </c>
      <c r="B242" s="86"/>
      <c r="C242" s="86"/>
      <c r="D242" s="86"/>
      <c r="E242" s="86"/>
      <c r="F242" s="86"/>
      <c r="G242" s="49"/>
      <c r="H242" s="49"/>
      <c r="I242" s="49"/>
    </row>
    <row r="243" spans="1:9" hidden="1" x14ac:dyDescent="0.25">
      <c r="A243" s="2" t="s">
        <v>47</v>
      </c>
      <c r="B243" s="86"/>
      <c r="C243" s="86"/>
      <c r="D243" s="86"/>
      <c r="E243" s="86"/>
      <c r="F243" s="86"/>
      <c r="G243" s="49"/>
      <c r="H243" s="49"/>
      <c r="I243" s="49"/>
    </row>
    <row r="244" spans="1:9" hidden="1" x14ac:dyDescent="0.25">
      <c r="A244" s="2" t="s">
        <v>64</v>
      </c>
      <c r="B244" s="86"/>
      <c r="C244" s="86"/>
      <c r="D244" s="86"/>
      <c r="E244" s="86"/>
      <c r="F244" s="86"/>
      <c r="G244" s="49"/>
      <c r="H244" s="49"/>
      <c r="I244" s="49"/>
    </row>
    <row r="245" spans="1:9" hidden="1" x14ac:dyDescent="0.25">
      <c r="A245" s="9" t="s">
        <v>27</v>
      </c>
      <c r="B245" s="86"/>
      <c r="C245" s="86"/>
      <c r="D245" s="86"/>
      <c r="E245" s="86"/>
      <c r="F245" s="86"/>
      <c r="G245" s="49"/>
      <c r="H245" s="49"/>
      <c r="I245" s="49"/>
    </row>
    <row r="246" spans="1:9" hidden="1" x14ac:dyDescent="0.25">
      <c r="A246" s="2" t="s">
        <v>19</v>
      </c>
      <c r="B246" s="86"/>
      <c r="C246" s="86"/>
      <c r="D246" s="86"/>
      <c r="E246" s="86"/>
      <c r="F246" s="86"/>
      <c r="G246" s="49"/>
      <c r="H246" s="49"/>
      <c r="I246" s="49"/>
    </row>
    <row r="247" spans="1:9" hidden="1" x14ac:dyDescent="0.25">
      <c r="A247" s="2" t="s">
        <v>31</v>
      </c>
      <c r="B247" s="86"/>
      <c r="C247" s="86"/>
      <c r="D247" s="86"/>
      <c r="E247" s="86"/>
      <c r="F247" s="86"/>
      <c r="G247" s="49"/>
      <c r="H247" s="49"/>
      <c r="I247" s="49"/>
    </row>
    <row r="248" spans="1:9" hidden="1" x14ac:dyDescent="0.25">
      <c r="A248" s="2" t="s">
        <v>49</v>
      </c>
      <c r="B248" s="86"/>
      <c r="C248" s="86"/>
      <c r="D248" s="86"/>
      <c r="E248" s="86"/>
      <c r="F248" s="86"/>
      <c r="G248" s="49"/>
      <c r="H248" s="49"/>
      <c r="I248" s="49"/>
    </row>
    <row r="249" spans="1:9" hidden="1" x14ac:dyDescent="0.25">
      <c r="A249" s="2" t="s">
        <v>50</v>
      </c>
      <c r="B249" s="86"/>
      <c r="C249" s="86"/>
      <c r="D249" s="86"/>
      <c r="E249" s="86"/>
      <c r="F249" s="86"/>
      <c r="G249" s="49"/>
      <c r="H249" s="49"/>
      <c r="I249" s="49"/>
    </row>
    <row r="250" spans="1:9" hidden="1" x14ac:dyDescent="0.25">
      <c r="A250" s="2" t="s">
        <v>55</v>
      </c>
      <c r="B250" s="86"/>
      <c r="C250" s="86"/>
      <c r="D250" s="86"/>
      <c r="E250" s="86"/>
      <c r="F250" s="86"/>
      <c r="G250" s="49"/>
      <c r="H250" s="49"/>
      <c r="I250" s="49"/>
    </row>
    <row r="251" spans="1:9" hidden="1" x14ac:dyDescent="0.25">
      <c r="A251" s="2" t="s">
        <v>57</v>
      </c>
      <c r="B251" s="86"/>
      <c r="C251" s="86"/>
      <c r="D251" s="86"/>
      <c r="E251" s="86"/>
      <c r="F251" s="86"/>
      <c r="G251" s="49"/>
      <c r="H251" s="49"/>
      <c r="I251" s="49"/>
    </row>
    <row r="252" spans="1:9" hidden="1" x14ac:dyDescent="0.25">
      <c r="A252" s="2" t="s">
        <v>60</v>
      </c>
      <c r="B252" s="86"/>
      <c r="C252" s="86"/>
      <c r="D252" s="86"/>
      <c r="E252" s="86"/>
      <c r="F252" s="86"/>
      <c r="G252" s="49"/>
      <c r="H252" s="49"/>
      <c r="I252" s="49"/>
    </row>
    <row r="253" spans="1:9" x14ac:dyDescent="0.25">
      <c r="A253" s="2"/>
      <c r="B253" s="86"/>
      <c r="C253" s="86"/>
      <c r="D253" s="86"/>
      <c r="E253" s="86"/>
      <c r="F253" s="86"/>
      <c r="G253" s="49"/>
      <c r="H253" s="49"/>
      <c r="I253" s="49"/>
    </row>
    <row r="254" spans="1:9" x14ac:dyDescent="0.25">
      <c r="A254" s="2" t="s">
        <v>61</v>
      </c>
      <c r="B254" s="86"/>
      <c r="C254" s="86"/>
      <c r="D254" s="86"/>
      <c r="E254" s="86"/>
      <c r="F254" s="86"/>
      <c r="G254" s="49"/>
      <c r="H254" s="49"/>
      <c r="I254" s="49"/>
    </row>
    <row r="255" spans="1:9" x14ac:dyDescent="0.25">
      <c r="A255" s="2"/>
      <c r="B255" s="14"/>
      <c r="C255" s="14"/>
      <c r="D255" s="14"/>
      <c r="E255" s="14"/>
      <c r="F255" s="14"/>
      <c r="G255" s="63"/>
      <c r="H255" s="63"/>
      <c r="I255" s="63"/>
    </row>
    <row r="256" spans="1:9" ht="15.75" thickBot="1" x14ac:dyDescent="0.3">
      <c r="A256" s="7" t="s">
        <v>16</v>
      </c>
      <c r="B256" s="8">
        <f>SUM(B141:B255)</f>
        <v>129.06827000000001</v>
      </c>
      <c r="C256" s="8">
        <f>SUM(C141:C255)</f>
        <v>452.32741700000003</v>
      </c>
      <c r="D256" s="8">
        <f>SUM(D141:D255)</f>
        <v>32.538700000000006</v>
      </c>
      <c r="E256" s="8">
        <f>SUM(E141:E255)</f>
        <v>325.36946999999998</v>
      </c>
      <c r="F256" s="8">
        <f>SUM(F141:F255)</f>
        <v>0</v>
      </c>
      <c r="G256" s="49"/>
      <c r="H256" s="49"/>
      <c r="I256" s="49"/>
    </row>
    <row r="257" spans="1:15" ht="15.75" thickBot="1" x14ac:dyDescent="0.3">
      <c r="A257" s="2"/>
      <c r="B257" s="2"/>
      <c r="C257" s="2"/>
      <c r="D257" s="2"/>
      <c r="E257" s="2"/>
      <c r="F257" s="2"/>
      <c r="G257" s="1"/>
      <c r="J257" s="21" t="s">
        <v>116</v>
      </c>
      <c r="K257" s="23" t="s">
        <v>115</v>
      </c>
      <c r="L257" s="23">
        <v>2016</v>
      </c>
      <c r="M257" s="22">
        <v>2017</v>
      </c>
      <c r="N257" s="28" t="s">
        <v>154</v>
      </c>
      <c r="O257" s="29" t="s">
        <v>153</v>
      </c>
    </row>
    <row r="258" spans="1:15" x14ac:dyDescent="0.25">
      <c r="A258" s="11" t="s">
        <v>200</v>
      </c>
      <c r="B258" s="12">
        <f>B121+B139-B256</f>
        <v>1568.2358800000004</v>
      </c>
      <c r="C258" s="12">
        <f>C121+C139-C256</f>
        <v>1233.1984530000004</v>
      </c>
      <c r="D258" s="12">
        <f>D121+D139-D256</f>
        <v>1402.3459530000005</v>
      </c>
      <c r="E258" s="12">
        <f>E121+E139-E256</f>
        <v>1076.9764830000004</v>
      </c>
      <c r="F258" s="12">
        <f>F121+F139-F256</f>
        <v>1076.9764830000004</v>
      </c>
      <c r="J258" s="19" t="s">
        <v>113</v>
      </c>
      <c r="K258" s="24"/>
      <c r="L258" s="24" t="e">
        <f>E167+#REF!</f>
        <v>#REF!</v>
      </c>
      <c r="M258" s="25" t="e">
        <f>SUM(B141:E166)+#REF!+SUM(B168:E184)</f>
        <v>#REF!</v>
      </c>
      <c r="N258" s="24"/>
      <c r="O258" s="24"/>
    </row>
    <row r="259" spans="1:15" ht="15.75" thickBot="1" x14ac:dyDescent="0.3">
      <c r="A259" s="4" t="s">
        <v>201</v>
      </c>
      <c r="B259" s="5">
        <f>B258/0.0042</f>
        <v>373389.49523809535</v>
      </c>
      <c r="C259" s="5">
        <f>C258/0.0042</f>
        <v>293618.6792857144</v>
      </c>
      <c r="D259" s="5">
        <f>D258/0.0042</f>
        <v>333891.89357142872</v>
      </c>
      <c r="E259" s="5">
        <f>E258/0.0042</f>
        <v>256422.97214285724</v>
      </c>
      <c r="F259" s="5">
        <f>F258/0.0042</f>
        <v>256422.97214285724</v>
      </c>
      <c r="J259" s="20" t="s">
        <v>114</v>
      </c>
      <c r="K259" s="26">
        <f>K258/4</f>
        <v>0</v>
      </c>
      <c r="L259" s="26" t="e">
        <f>L258/4</f>
        <v>#REF!</v>
      </c>
      <c r="M259" s="27" t="e">
        <f>M258/4</f>
        <v>#REF!</v>
      </c>
      <c r="N259" s="26" t="e">
        <f>SUM(K259:M259)</f>
        <v>#REF!</v>
      </c>
      <c r="O259" s="26" t="e">
        <f>SUM(L259:M259)</f>
        <v>#REF!</v>
      </c>
    </row>
    <row r="261" spans="1:15" x14ac:dyDescent="0.25">
      <c r="C261" s="92"/>
      <c r="E261" s="92"/>
      <c r="F261" s="92"/>
    </row>
  </sheetData>
  <mergeCells count="1">
    <mergeCell ref="B6:D6"/>
  </mergeCells>
  <pageMargins left="0.35433070866141736" right="0.27559055118110237" top="0.74803149606299213" bottom="0.74803149606299213" header="0.31496062992125984" footer="0.31496062992125984"/>
  <pageSetup paperSize="9" scale="67" orientation="portrait" horizontalDpi="4294967293" verticalDpi="4294967293" r:id="rId1"/>
  <rowBreaks count="1" manualBreakCount="1">
    <brk id="117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241"/>
  <sheetViews>
    <sheetView workbookViewId="0">
      <pane xSplit="1" ySplit="3" topLeftCell="B196" activePane="bottomRight" state="frozen"/>
      <selection pane="topRight" activeCell="B1" sqref="B1"/>
      <selection pane="bottomLeft" activeCell="A4" sqref="A4"/>
      <selection pane="bottomRight" activeCell="E189" sqref="E189"/>
    </sheetView>
  </sheetViews>
  <sheetFormatPr defaultRowHeight="15" outlineLevelRow="1" x14ac:dyDescent="0.25"/>
  <cols>
    <col min="1" max="1" width="52" bestFit="1" customWidth="1"/>
    <col min="2" max="2" width="11.42578125" bestFit="1" customWidth="1"/>
    <col min="3" max="3" width="14" bestFit="1" customWidth="1"/>
    <col min="4" max="4" width="9.7109375" customWidth="1"/>
    <col min="5" max="5" width="10.5703125" customWidth="1"/>
    <col min="6" max="6" width="10.5703125" hidden="1" customWidth="1"/>
    <col min="7" max="7" width="4" bestFit="1" customWidth="1"/>
    <col min="9" max="9" width="10.140625" customWidth="1"/>
    <col min="11" max="11" width="22.7109375" bestFit="1" customWidth="1"/>
    <col min="12" max="12" width="10.85546875" customWidth="1"/>
    <col min="13" max="13" width="14" bestFit="1" customWidth="1"/>
    <col min="14" max="14" width="19" bestFit="1" customWidth="1"/>
    <col min="15" max="15" width="20.42578125" bestFit="1" customWidth="1"/>
  </cols>
  <sheetData>
    <row r="1" spans="1:16" x14ac:dyDescent="0.25">
      <c r="J1" s="48"/>
      <c r="K1" s="48"/>
      <c r="L1" s="48"/>
      <c r="M1" s="48"/>
      <c r="N1" s="48"/>
      <c r="O1" s="48"/>
    </row>
    <row r="2" spans="1:16" x14ac:dyDescent="0.25">
      <c r="J2" s="48"/>
      <c r="K2" s="48"/>
      <c r="L2" s="48"/>
      <c r="M2" s="48"/>
      <c r="N2" s="48"/>
      <c r="O2" s="48"/>
    </row>
    <row r="3" spans="1:16" s="1" customFormat="1" x14ac:dyDescent="0.25">
      <c r="J3" s="49"/>
      <c r="K3" s="49"/>
      <c r="L3" s="49"/>
      <c r="M3" s="49"/>
      <c r="N3" s="49"/>
      <c r="O3" s="49"/>
    </row>
    <row r="4" spans="1:16" s="1" customFormat="1" hidden="1" x14ac:dyDescent="0.25">
      <c r="A4" s="46" t="s">
        <v>139</v>
      </c>
      <c r="B4" s="47">
        <v>4.2</v>
      </c>
      <c r="C4" s="49"/>
      <c r="D4" s="49"/>
      <c r="J4" s="49"/>
      <c r="O4" s="49"/>
    </row>
    <row r="5" spans="1:16" hidden="1" x14ac:dyDescent="0.25">
      <c r="A5" s="48"/>
      <c r="B5" s="48"/>
      <c r="C5" s="48"/>
      <c r="D5" s="48"/>
      <c r="J5" s="49"/>
      <c r="O5" s="48"/>
      <c r="P5" s="48"/>
    </row>
    <row r="6" spans="1:16" ht="15.75" hidden="1" x14ac:dyDescent="0.25">
      <c r="A6" s="30" t="s">
        <v>118</v>
      </c>
      <c r="B6" s="150" t="s">
        <v>213</v>
      </c>
      <c r="C6" s="150"/>
      <c r="D6" s="150"/>
      <c r="J6" s="49"/>
      <c r="O6" s="48"/>
    </row>
    <row r="7" spans="1:16" ht="16.5" hidden="1" thickBot="1" x14ac:dyDescent="0.3">
      <c r="A7" s="30" t="s">
        <v>144</v>
      </c>
      <c r="B7" s="50" t="s">
        <v>140</v>
      </c>
      <c r="C7" s="50" t="s">
        <v>141</v>
      </c>
      <c r="D7" s="51" t="s">
        <v>142</v>
      </c>
      <c r="H7" s="97"/>
      <c r="I7" s="97"/>
      <c r="J7" s="49"/>
      <c r="O7" s="48"/>
    </row>
    <row r="8" spans="1:16" hidden="1" x14ac:dyDescent="0.25">
      <c r="A8" s="31" t="s">
        <v>119</v>
      </c>
      <c r="B8" s="38"/>
      <c r="C8" s="48"/>
      <c r="D8" s="48"/>
      <c r="J8" s="49"/>
      <c r="O8" s="48"/>
    </row>
    <row r="9" spans="1:16" hidden="1" x14ac:dyDescent="0.25">
      <c r="A9" s="32" t="s">
        <v>120</v>
      </c>
      <c r="B9" s="39">
        <f>84.5*B4</f>
        <v>354.90000000000003</v>
      </c>
      <c r="C9" s="39" t="e">
        <f>C10+C11+C12</f>
        <v>#REF!</v>
      </c>
      <c r="D9" s="39" t="e">
        <f>C9-B9</f>
        <v>#REF!</v>
      </c>
      <c r="H9" s="95"/>
      <c r="I9" s="95"/>
      <c r="J9" s="98"/>
      <c r="O9" s="48"/>
    </row>
    <row r="10" spans="1:16" hidden="1" x14ac:dyDescent="0.25">
      <c r="A10" s="79" t="s">
        <v>2</v>
      </c>
      <c r="B10" s="80"/>
      <c r="C10" s="80">
        <f>B123+C123</f>
        <v>0</v>
      </c>
      <c r="D10" s="80"/>
      <c r="J10" s="98"/>
      <c r="O10" s="48"/>
    </row>
    <row r="11" spans="1:16" hidden="1" x14ac:dyDescent="0.25">
      <c r="A11" s="79" t="s">
        <v>74</v>
      </c>
      <c r="B11" s="80"/>
      <c r="C11" s="80" t="e">
        <f>#REF!</f>
        <v>#REF!</v>
      </c>
      <c r="D11" s="80"/>
      <c r="J11" s="98"/>
      <c r="O11" s="48"/>
    </row>
    <row r="12" spans="1:16" hidden="1" x14ac:dyDescent="0.25">
      <c r="A12" s="79" t="s">
        <v>214</v>
      </c>
      <c r="B12" s="80"/>
      <c r="C12" s="80">
        <f>SUM(B133:E133)</f>
        <v>572.76800000000003</v>
      </c>
      <c r="D12" s="80"/>
      <c r="J12" s="98"/>
      <c r="O12" s="48"/>
    </row>
    <row r="13" spans="1:16" hidden="1" x14ac:dyDescent="0.25">
      <c r="A13" s="33"/>
      <c r="B13" s="40"/>
      <c r="C13" s="40"/>
      <c r="D13" s="40"/>
      <c r="J13" s="98"/>
      <c r="O13" s="48"/>
    </row>
    <row r="14" spans="1:16" hidden="1" x14ac:dyDescent="0.25">
      <c r="A14" s="33" t="s">
        <v>121</v>
      </c>
      <c r="B14" s="40">
        <v>0</v>
      </c>
      <c r="C14" s="40">
        <f>SUM(C15:C17)</f>
        <v>0</v>
      </c>
      <c r="D14" s="40">
        <f>C14-B14</f>
        <v>0</v>
      </c>
      <c r="H14" s="95"/>
      <c r="I14" s="95"/>
      <c r="J14" s="98"/>
      <c r="O14" s="48"/>
    </row>
    <row r="15" spans="1:16" hidden="1" outlineLevel="1" x14ac:dyDescent="0.25">
      <c r="A15" s="81" t="s">
        <v>8</v>
      </c>
      <c r="B15" s="40"/>
      <c r="C15" s="82">
        <f>-D201-E201</f>
        <v>0</v>
      </c>
      <c r="D15" s="40"/>
      <c r="J15" s="98"/>
      <c r="O15" s="48"/>
    </row>
    <row r="16" spans="1:16" hidden="1" outlineLevel="1" x14ac:dyDescent="0.25">
      <c r="A16" s="81" t="s">
        <v>22</v>
      </c>
      <c r="B16" s="40"/>
      <c r="C16" s="82">
        <f>B187</f>
        <v>0</v>
      </c>
      <c r="D16" s="40"/>
      <c r="J16" s="98"/>
      <c r="O16" s="48"/>
    </row>
    <row r="17" spans="1:15" hidden="1" outlineLevel="1" x14ac:dyDescent="0.25">
      <c r="A17" s="81" t="s">
        <v>79</v>
      </c>
      <c r="B17" s="40"/>
      <c r="C17" s="82"/>
      <c r="D17" s="40"/>
      <c r="J17" s="98"/>
      <c r="O17" s="48"/>
    </row>
    <row r="18" spans="1:15" hidden="1" x14ac:dyDescent="0.25">
      <c r="A18" s="33"/>
      <c r="B18" s="40"/>
      <c r="C18" s="40"/>
      <c r="D18" s="40"/>
      <c r="J18" s="98"/>
      <c r="O18" s="48"/>
    </row>
    <row r="19" spans="1:15" hidden="1" x14ac:dyDescent="0.25">
      <c r="A19" s="33" t="s">
        <v>122</v>
      </c>
      <c r="B19" s="40">
        <v>0</v>
      </c>
      <c r="C19" s="40"/>
      <c r="D19" s="40">
        <f>C19-B19</f>
        <v>0</v>
      </c>
      <c r="H19" s="95"/>
      <c r="I19" s="95"/>
      <c r="J19" s="98"/>
      <c r="O19" s="48"/>
    </row>
    <row r="20" spans="1:15" hidden="1" x14ac:dyDescent="0.25">
      <c r="A20" s="33" t="s">
        <v>123</v>
      </c>
      <c r="B20" s="40">
        <f>-121.541662578305*B4</f>
        <v>-510.47498282888097</v>
      </c>
      <c r="C20" s="40">
        <f>SUM(C21:C25)</f>
        <v>-370.90899999999999</v>
      </c>
      <c r="D20" s="40">
        <f>C20-B20</f>
        <v>139.56598282888098</v>
      </c>
      <c r="H20" s="95"/>
      <c r="I20" s="95"/>
      <c r="J20" s="98"/>
      <c r="O20" s="48"/>
    </row>
    <row r="21" spans="1:15" hidden="1" outlineLevel="1" x14ac:dyDescent="0.25">
      <c r="A21" s="81" t="s">
        <v>103</v>
      </c>
      <c r="B21" s="40"/>
      <c r="C21" s="82">
        <f>-(C141+E141)</f>
        <v>-164.19299999999998</v>
      </c>
      <c r="D21" s="40"/>
      <c r="J21" s="98"/>
      <c r="O21" s="48"/>
    </row>
    <row r="22" spans="1:15" hidden="1" outlineLevel="1" x14ac:dyDescent="0.25">
      <c r="A22" s="81" t="s">
        <v>147</v>
      </c>
      <c r="B22" s="40"/>
      <c r="C22" s="82">
        <f>-(E143+E152)-SUM(C159:E159)</f>
        <v>-202.71600000000001</v>
      </c>
      <c r="D22" s="40"/>
      <c r="J22" s="98"/>
      <c r="O22" s="48"/>
    </row>
    <row r="23" spans="1:15" hidden="1" outlineLevel="1" x14ac:dyDescent="0.25">
      <c r="A23" s="81" t="s">
        <v>146</v>
      </c>
      <c r="B23" s="40"/>
      <c r="C23" s="82"/>
      <c r="D23" s="40"/>
      <c r="J23" s="98"/>
      <c r="O23" s="48"/>
    </row>
    <row r="24" spans="1:15" hidden="1" outlineLevel="1" x14ac:dyDescent="0.25">
      <c r="A24" s="81" t="s">
        <v>189</v>
      </c>
      <c r="B24" s="40"/>
      <c r="C24" s="82"/>
      <c r="D24" s="40"/>
      <c r="J24" s="98"/>
      <c r="O24" s="48"/>
    </row>
    <row r="25" spans="1:15" hidden="1" outlineLevel="1" x14ac:dyDescent="0.25">
      <c r="A25" s="81" t="s">
        <v>98</v>
      </c>
      <c r="B25" s="40"/>
      <c r="C25" s="82">
        <f>-C162</f>
        <v>-4</v>
      </c>
      <c r="D25" s="40"/>
      <c r="J25" s="98"/>
      <c r="O25" s="48"/>
    </row>
    <row r="26" spans="1:15" hidden="1" x14ac:dyDescent="0.25">
      <c r="A26" s="52" t="s">
        <v>143</v>
      </c>
      <c r="B26" s="53">
        <v>0</v>
      </c>
      <c r="C26" s="53" t="e">
        <f>SUM(C27:C29)</f>
        <v>#REF!</v>
      </c>
      <c r="D26" s="53" t="e">
        <f>C26-B26</f>
        <v>#REF!</v>
      </c>
      <c r="H26" s="95"/>
      <c r="I26" s="95"/>
      <c r="J26" s="98"/>
      <c r="O26" s="48"/>
    </row>
    <row r="27" spans="1:15" hidden="1" outlineLevel="1" x14ac:dyDescent="0.25">
      <c r="A27" s="81" t="s">
        <v>149</v>
      </c>
      <c r="B27" s="53"/>
      <c r="C27" s="82" t="e">
        <f>-#REF!</f>
        <v>#REF!</v>
      </c>
      <c r="D27" s="53"/>
      <c r="J27" s="98"/>
      <c r="O27" s="48"/>
    </row>
    <row r="28" spans="1:15" hidden="1" outlineLevel="1" x14ac:dyDescent="0.25">
      <c r="A28" s="81" t="s">
        <v>167</v>
      </c>
      <c r="B28" s="53"/>
      <c r="C28" s="82"/>
      <c r="D28" s="53"/>
      <c r="J28" s="98"/>
      <c r="O28" s="48"/>
    </row>
    <row r="29" spans="1:15" hidden="1" outlineLevel="1" x14ac:dyDescent="0.25">
      <c r="A29" s="81" t="s">
        <v>196</v>
      </c>
      <c r="B29" s="53"/>
      <c r="C29" s="82">
        <f>-E194</f>
        <v>0</v>
      </c>
      <c r="D29" s="53"/>
      <c r="J29" s="98"/>
      <c r="O29" s="48"/>
    </row>
    <row r="30" spans="1:15" hidden="1" x14ac:dyDescent="0.25">
      <c r="A30" s="33" t="s">
        <v>124</v>
      </c>
      <c r="B30" s="40">
        <f>-71.5157508348324*B4</f>
        <v>-300.36615350629609</v>
      </c>
      <c r="C30" s="83" t="e">
        <f>SUM(C31:C71)</f>
        <v>#REF!</v>
      </c>
      <c r="D30" s="40" t="e">
        <f>C30-B30</f>
        <v>#REF!</v>
      </c>
      <c r="H30" s="95"/>
      <c r="I30" s="95"/>
      <c r="J30" s="98"/>
      <c r="O30" s="48"/>
    </row>
    <row r="31" spans="1:15" hidden="1" outlineLevel="1" x14ac:dyDescent="0.25">
      <c r="A31" s="81" t="s">
        <v>29</v>
      </c>
      <c r="B31" s="40"/>
      <c r="C31" s="83">
        <f>-D145</f>
        <v>0</v>
      </c>
      <c r="D31" s="40"/>
      <c r="J31" s="98"/>
      <c r="O31" s="48"/>
    </row>
    <row r="32" spans="1:15" hidden="1" outlineLevel="1" x14ac:dyDescent="0.25">
      <c r="A32" s="81" t="s">
        <v>9</v>
      </c>
      <c r="B32" s="40"/>
      <c r="C32" s="83"/>
      <c r="D32" s="40"/>
      <c r="J32" s="98"/>
      <c r="O32" s="48"/>
    </row>
    <row r="33" spans="1:15" hidden="1" outlineLevel="1" x14ac:dyDescent="0.25">
      <c r="A33" s="81" t="s">
        <v>111</v>
      </c>
      <c r="B33" s="40"/>
      <c r="C33" s="83"/>
      <c r="D33" s="40"/>
      <c r="J33" s="98"/>
      <c r="O33" s="48"/>
    </row>
    <row r="34" spans="1:15" hidden="1" outlineLevel="1" x14ac:dyDescent="0.25">
      <c r="A34" s="81" t="s">
        <v>45</v>
      </c>
      <c r="B34" s="40"/>
      <c r="C34" s="83"/>
      <c r="D34" s="40"/>
      <c r="J34" s="98"/>
      <c r="O34" s="48"/>
    </row>
    <row r="35" spans="1:15" hidden="1" outlineLevel="1" x14ac:dyDescent="0.25">
      <c r="A35" s="81" t="s">
        <v>52</v>
      </c>
      <c r="B35" s="40"/>
      <c r="C35" s="83">
        <f>-E149</f>
        <v>-4.0144799999999998</v>
      </c>
      <c r="D35" s="40"/>
      <c r="J35" s="98"/>
      <c r="O35" s="48"/>
    </row>
    <row r="36" spans="1:15" hidden="1" outlineLevel="1" x14ac:dyDescent="0.25">
      <c r="A36" s="81" t="s">
        <v>183</v>
      </c>
      <c r="B36" s="40"/>
      <c r="C36" s="83">
        <f>-E175</f>
        <v>-4.5535699999999997</v>
      </c>
      <c r="D36" s="40"/>
      <c r="J36" s="98"/>
      <c r="O36" s="48"/>
    </row>
    <row r="37" spans="1:15" hidden="1" outlineLevel="1" x14ac:dyDescent="0.25">
      <c r="A37" s="81" t="s">
        <v>56</v>
      </c>
      <c r="B37" s="40"/>
      <c r="C37" s="83"/>
      <c r="D37" s="40"/>
      <c r="J37" s="98"/>
      <c r="O37" s="48"/>
    </row>
    <row r="38" spans="1:15" hidden="1" outlineLevel="1" x14ac:dyDescent="0.25">
      <c r="A38" s="81" t="s">
        <v>12</v>
      </c>
      <c r="B38" s="40"/>
      <c r="C38" s="83" t="e">
        <f>-(C150+#REF!)</f>
        <v>#REF!</v>
      </c>
      <c r="D38" s="40"/>
      <c r="J38" s="98"/>
      <c r="O38" s="48"/>
    </row>
    <row r="39" spans="1:15" hidden="1" outlineLevel="1" x14ac:dyDescent="0.25">
      <c r="A39" s="81" t="s">
        <v>68</v>
      </c>
      <c r="B39" s="40"/>
      <c r="C39" s="83">
        <f>-SUM(B154:E154)</f>
        <v>-5.7775999999999996</v>
      </c>
      <c r="D39" s="40"/>
      <c r="J39" s="98"/>
      <c r="O39" s="48"/>
    </row>
    <row r="40" spans="1:15" hidden="1" outlineLevel="1" x14ac:dyDescent="0.25">
      <c r="A40" s="81" t="s">
        <v>42</v>
      </c>
      <c r="B40" s="40"/>
      <c r="C40" s="83">
        <f>-SUM(B163:E163)</f>
        <v>0</v>
      </c>
      <c r="D40" s="40"/>
      <c r="J40" s="98"/>
      <c r="O40" s="48"/>
    </row>
    <row r="41" spans="1:15" hidden="1" outlineLevel="1" x14ac:dyDescent="0.25">
      <c r="A41" s="81" t="s">
        <v>76</v>
      </c>
      <c r="B41" s="40"/>
      <c r="C41" s="83" t="e">
        <f>-SUM(#REF!)</f>
        <v>#REF!</v>
      </c>
      <c r="D41" s="40"/>
      <c r="J41" s="98"/>
      <c r="O41" s="48"/>
    </row>
    <row r="42" spans="1:15" hidden="1" outlineLevel="1" x14ac:dyDescent="0.25">
      <c r="A42" s="81" t="s">
        <v>30</v>
      </c>
      <c r="B42" s="40"/>
      <c r="C42" s="83">
        <f>-SUM(E165:E165)</f>
        <v>0</v>
      </c>
      <c r="D42" s="40"/>
      <c r="J42" s="98"/>
      <c r="O42" s="48"/>
    </row>
    <row r="43" spans="1:15" hidden="1" outlineLevel="1" x14ac:dyDescent="0.25">
      <c r="A43" s="81" t="s">
        <v>15</v>
      </c>
      <c r="B43" s="40"/>
      <c r="C43" s="83">
        <f>-SUM(B166:E166)</f>
        <v>-15.65549</v>
      </c>
      <c r="D43" s="40"/>
      <c r="J43" s="98"/>
      <c r="O43" s="48"/>
    </row>
    <row r="44" spans="1:15" hidden="1" outlineLevel="1" x14ac:dyDescent="0.25">
      <c r="A44" s="81" t="s">
        <v>165</v>
      </c>
      <c r="B44" s="40"/>
      <c r="C44" s="83" t="e">
        <f>-#REF!</f>
        <v>#REF!</v>
      </c>
      <c r="D44" s="40"/>
      <c r="J44" s="98"/>
      <c r="O44" s="48"/>
    </row>
    <row r="45" spans="1:15" hidden="1" outlineLevel="1" x14ac:dyDescent="0.25">
      <c r="A45" s="81" t="s">
        <v>168</v>
      </c>
      <c r="B45" s="40"/>
      <c r="C45" s="83"/>
      <c r="D45" s="40"/>
      <c r="J45" s="98"/>
      <c r="O45" s="48"/>
    </row>
    <row r="46" spans="1:15" hidden="1" outlineLevel="1" x14ac:dyDescent="0.25">
      <c r="A46" s="81" t="s">
        <v>24</v>
      </c>
      <c r="B46" s="40"/>
      <c r="C46" s="83">
        <f>-SUM(C153:E153)</f>
        <v>0</v>
      </c>
      <c r="D46" s="40"/>
      <c r="J46" s="98"/>
      <c r="O46" s="48"/>
    </row>
    <row r="47" spans="1:15" hidden="1" outlineLevel="1" x14ac:dyDescent="0.25">
      <c r="A47" s="81" t="s">
        <v>25</v>
      </c>
      <c r="B47" s="40"/>
      <c r="C47" s="40">
        <f>-SUM(C202:E202)</f>
        <v>0</v>
      </c>
      <c r="D47" s="40"/>
      <c r="J47" s="49"/>
      <c r="O47" s="48"/>
    </row>
    <row r="48" spans="1:15" hidden="1" outlineLevel="1" x14ac:dyDescent="0.25">
      <c r="A48" s="81" t="s">
        <v>23</v>
      </c>
      <c r="B48" s="40"/>
      <c r="C48" s="83">
        <f>-SUM(E171:E171)</f>
        <v>0</v>
      </c>
      <c r="D48" s="40"/>
      <c r="J48" s="98"/>
      <c r="O48" s="48"/>
    </row>
    <row r="49" spans="1:15" hidden="1" outlineLevel="1" x14ac:dyDescent="0.25">
      <c r="A49" s="81" t="s">
        <v>35</v>
      </c>
      <c r="B49" s="40"/>
      <c r="C49" s="83"/>
      <c r="D49" s="40"/>
      <c r="J49" s="98"/>
      <c r="O49" s="48"/>
    </row>
    <row r="50" spans="1:15" hidden="1" outlineLevel="1" x14ac:dyDescent="0.25">
      <c r="A50" s="81" t="s">
        <v>40</v>
      </c>
      <c r="B50" s="40"/>
      <c r="C50" s="83"/>
      <c r="D50" s="40"/>
      <c r="J50" s="98"/>
      <c r="O50" s="48"/>
    </row>
    <row r="51" spans="1:15" hidden="1" outlineLevel="1" x14ac:dyDescent="0.25">
      <c r="A51" s="81" t="s">
        <v>91</v>
      </c>
      <c r="B51" s="40"/>
      <c r="C51" s="83"/>
      <c r="D51" s="40"/>
      <c r="J51" s="98"/>
      <c r="O51" s="48"/>
    </row>
    <row r="52" spans="1:15" hidden="1" outlineLevel="1" x14ac:dyDescent="0.25">
      <c r="A52" s="81" t="s">
        <v>100</v>
      </c>
      <c r="B52" s="40"/>
      <c r="C52" s="83"/>
      <c r="D52" s="40"/>
      <c r="J52" s="98"/>
      <c r="O52" s="48"/>
    </row>
    <row r="53" spans="1:15" hidden="1" outlineLevel="1" x14ac:dyDescent="0.25">
      <c r="A53" s="81" t="s">
        <v>13</v>
      </c>
      <c r="B53" s="40"/>
      <c r="C53" s="83">
        <f>-SUM(B188:E188)</f>
        <v>-1.88764</v>
      </c>
      <c r="D53" s="40"/>
      <c r="J53" s="98"/>
      <c r="O53" s="48"/>
    </row>
    <row r="54" spans="1:15" hidden="1" outlineLevel="1" x14ac:dyDescent="0.25">
      <c r="A54" s="81" t="s">
        <v>41</v>
      </c>
      <c r="B54" s="40"/>
      <c r="C54" s="83">
        <f>-SUM(B168:E168)</f>
        <v>-0.45017000000000001</v>
      </c>
      <c r="D54" s="40"/>
      <c r="J54" s="98"/>
      <c r="O54" s="48"/>
    </row>
    <row r="55" spans="1:15" hidden="1" outlineLevel="1" x14ac:dyDescent="0.25">
      <c r="A55" s="81" t="s">
        <v>36</v>
      </c>
      <c r="B55" s="40"/>
      <c r="C55" s="83">
        <f>-SUM(B169:E169)</f>
        <v>-0.14526</v>
      </c>
      <c r="D55" s="40"/>
      <c r="J55" s="98"/>
      <c r="O55" s="48"/>
    </row>
    <row r="56" spans="1:15" hidden="1" outlineLevel="1" x14ac:dyDescent="0.25">
      <c r="A56" s="81" t="s">
        <v>62</v>
      </c>
      <c r="B56" s="40"/>
      <c r="C56" s="83"/>
      <c r="D56" s="40"/>
      <c r="J56" s="98"/>
      <c r="O56" s="48"/>
    </row>
    <row r="57" spans="1:15" hidden="1" outlineLevel="1" x14ac:dyDescent="0.25">
      <c r="A57" s="81" t="s">
        <v>54</v>
      </c>
      <c r="B57" s="40"/>
      <c r="C57" s="83">
        <f>-SUM(C170:E170)</f>
        <v>-5.2787600000000001</v>
      </c>
      <c r="D57" s="40"/>
      <c r="J57" s="98"/>
      <c r="O57" s="48"/>
    </row>
    <row r="58" spans="1:15" hidden="1" outlineLevel="1" x14ac:dyDescent="0.25">
      <c r="A58" s="81" t="s">
        <v>166</v>
      </c>
      <c r="B58" s="40"/>
      <c r="C58" s="83"/>
      <c r="D58" s="40"/>
      <c r="J58" s="98"/>
      <c r="O58" s="48"/>
    </row>
    <row r="59" spans="1:15" hidden="1" outlineLevel="1" x14ac:dyDescent="0.25">
      <c r="A59" s="81" t="s">
        <v>48</v>
      </c>
      <c r="B59" s="40"/>
      <c r="C59" s="83"/>
      <c r="D59" s="40"/>
      <c r="J59" s="98"/>
      <c r="O59" s="48"/>
    </row>
    <row r="60" spans="1:15" hidden="1" outlineLevel="1" x14ac:dyDescent="0.25">
      <c r="A60" s="81" t="s">
        <v>73</v>
      </c>
      <c r="B60" s="40"/>
      <c r="C60" s="83">
        <f>-SUM(C148:E148)</f>
        <v>-6.72736</v>
      </c>
      <c r="D60" s="40"/>
      <c r="J60" s="98"/>
      <c r="O60" s="48"/>
    </row>
    <row r="61" spans="1:15" hidden="1" outlineLevel="1" x14ac:dyDescent="0.25">
      <c r="A61" s="81" t="s">
        <v>66</v>
      </c>
      <c r="B61" s="40"/>
      <c r="C61" s="83">
        <f>-SUM(C174:E174)</f>
        <v>0</v>
      </c>
      <c r="D61" s="40"/>
      <c r="J61" s="98"/>
      <c r="O61" s="48"/>
    </row>
    <row r="62" spans="1:15" hidden="1" outlineLevel="1" x14ac:dyDescent="0.25">
      <c r="A62" s="81" t="s">
        <v>80</v>
      </c>
      <c r="B62" s="40"/>
      <c r="C62" s="83">
        <f>-SUM(B199:E199)</f>
        <v>0</v>
      </c>
      <c r="D62" s="40"/>
      <c r="J62" s="98"/>
      <c r="O62" s="48"/>
    </row>
    <row r="63" spans="1:15" hidden="1" outlineLevel="1" x14ac:dyDescent="0.25">
      <c r="A63" s="81" t="s">
        <v>171</v>
      </c>
      <c r="B63" s="40"/>
      <c r="C63" s="83"/>
      <c r="D63" s="40"/>
      <c r="J63" s="98"/>
      <c r="O63" s="48"/>
    </row>
    <row r="64" spans="1:15" hidden="1" outlineLevel="1" x14ac:dyDescent="0.25">
      <c r="A64" s="81" t="s">
        <v>28</v>
      </c>
      <c r="B64" s="40"/>
      <c r="C64" s="83"/>
      <c r="D64" s="40"/>
      <c r="J64" s="98"/>
      <c r="O64" s="48"/>
    </row>
    <row r="65" spans="1:15" hidden="1" outlineLevel="1" x14ac:dyDescent="0.25">
      <c r="A65" s="81" t="s">
        <v>210</v>
      </c>
      <c r="B65" s="40"/>
      <c r="C65" s="83">
        <f>-SUM(C196:E196)</f>
        <v>-27.594000000000001</v>
      </c>
      <c r="D65" s="40"/>
      <c r="J65" s="98"/>
      <c r="O65" s="48"/>
    </row>
    <row r="66" spans="1:15" hidden="1" outlineLevel="1" x14ac:dyDescent="0.25">
      <c r="A66" s="81" t="s">
        <v>188</v>
      </c>
      <c r="B66" s="40"/>
      <c r="C66" s="83"/>
      <c r="D66" s="40"/>
      <c r="J66" s="98"/>
      <c r="O66" s="48"/>
    </row>
    <row r="67" spans="1:15" hidden="1" outlineLevel="1" x14ac:dyDescent="0.25">
      <c r="A67" s="81" t="s">
        <v>208</v>
      </c>
      <c r="B67" s="40"/>
      <c r="C67" s="83">
        <f>-SUM(B190:E190)</f>
        <v>0</v>
      </c>
      <c r="D67" s="40"/>
      <c r="J67" s="98"/>
      <c r="O67" s="48"/>
    </row>
    <row r="68" spans="1:15" hidden="1" outlineLevel="1" x14ac:dyDescent="0.25">
      <c r="A68" s="81" t="s">
        <v>211</v>
      </c>
      <c r="B68" s="40"/>
      <c r="C68" s="83">
        <f>-SUM(D184:E184)</f>
        <v>0</v>
      </c>
      <c r="D68" s="40"/>
      <c r="J68" s="98"/>
      <c r="O68" s="48"/>
    </row>
    <row r="69" spans="1:15" hidden="1" outlineLevel="1" x14ac:dyDescent="0.25">
      <c r="A69" s="81" t="s">
        <v>182</v>
      </c>
      <c r="B69" s="40"/>
      <c r="C69" s="83"/>
      <c r="D69" s="40"/>
      <c r="J69" s="98"/>
      <c r="O69" s="48"/>
    </row>
    <row r="70" spans="1:15" hidden="1" outlineLevel="1" x14ac:dyDescent="0.25">
      <c r="A70" s="104" t="s">
        <v>195</v>
      </c>
      <c r="B70" s="105"/>
      <c r="C70" s="105">
        <f>-SUM(C161:E161)</f>
        <v>0</v>
      </c>
      <c r="D70" s="40"/>
      <c r="J70" s="98"/>
      <c r="O70" s="48"/>
    </row>
    <row r="71" spans="1:15" hidden="1" outlineLevel="1" x14ac:dyDescent="0.25">
      <c r="A71" s="84" t="s">
        <v>150</v>
      </c>
      <c r="B71" s="41"/>
      <c r="C71" s="62">
        <f>-SUM(C158:E158)</f>
        <v>-0.315</v>
      </c>
      <c r="D71" s="41"/>
      <c r="J71" s="98"/>
      <c r="O71" s="48"/>
    </row>
    <row r="72" spans="1:15" hidden="1" x14ac:dyDescent="0.25">
      <c r="A72" s="34"/>
      <c r="B72" s="40"/>
      <c r="C72" s="40"/>
      <c r="D72" s="40"/>
      <c r="J72" s="98"/>
      <c r="O72" s="48"/>
    </row>
    <row r="73" spans="1:15" hidden="1" x14ac:dyDescent="0.25">
      <c r="A73" s="35" t="s">
        <v>134</v>
      </c>
      <c r="B73" s="42">
        <f>B9+B14+B19+B20+B26+B30</f>
        <v>-455.94113633517702</v>
      </c>
      <c r="C73" s="42" t="e">
        <f>C9+C14+C19+C20+C26+C30</f>
        <v>#REF!</v>
      </c>
      <c r="D73" s="42" t="e">
        <f>D9+D14+D19+D20+D26+D30</f>
        <v>#REF!</v>
      </c>
      <c r="H73" s="95"/>
      <c r="I73" s="95"/>
      <c r="J73" s="98"/>
      <c r="O73" s="48"/>
    </row>
    <row r="74" spans="1:15" s="1" customFormat="1" hidden="1" x14ac:dyDescent="0.25">
      <c r="A74" s="34"/>
      <c r="B74" s="40"/>
      <c r="C74" s="40"/>
      <c r="D74" s="40"/>
      <c r="J74" s="98"/>
      <c r="O74" s="49"/>
    </row>
    <row r="75" spans="1:15" s="1" customFormat="1" hidden="1" x14ac:dyDescent="0.25">
      <c r="A75" s="31" t="s">
        <v>125</v>
      </c>
      <c r="B75" s="43">
        <f>-59.33*B4</f>
        <v>-249.18600000000001</v>
      </c>
      <c r="C75" s="43">
        <f>SUM(C76:C79)</f>
        <v>-9.0625</v>
      </c>
      <c r="D75" s="43">
        <f>C75-B75</f>
        <v>240.12350000000001</v>
      </c>
      <c r="H75" s="93"/>
      <c r="I75" s="93"/>
      <c r="J75" s="98"/>
      <c r="O75" s="49"/>
    </row>
    <row r="76" spans="1:15" s="1" customFormat="1" hidden="1" outlineLevel="1" x14ac:dyDescent="0.25">
      <c r="A76" s="81" t="s">
        <v>53</v>
      </c>
      <c r="B76" s="40"/>
      <c r="C76" s="40"/>
      <c r="D76" s="40"/>
      <c r="J76" s="98"/>
      <c r="O76" s="49"/>
    </row>
    <row r="77" spans="1:15" s="1" customFormat="1" hidden="1" outlineLevel="1" x14ac:dyDescent="0.25">
      <c r="A77" s="81" t="s">
        <v>148</v>
      </c>
      <c r="B77" s="40"/>
      <c r="C77" s="40"/>
      <c r="D77" s="40"/>
      <c r="J77" s="98"/>
      <c r="O77" s="49"/>
    </row>
    <row r="78" spans="1:15" s="1" customFormat="1" hidden="1" outlineLevel="1" x14ac:dyDescent="0.25">
      <c r="A78" s="81" t="s">
        <v>209</v>
      </c>
      <c r="B78" s="40"/>
      <c r="C78" s="40">
        <f>-SUM(B189:E189)</f>
        <v>-9.0625</v>
      </c>
      <c r="D78" s="40"/>
      <c r="J78" s="98"/>
      <c r="O78" s="49"/>
    </row>
    <row r="79" spans="1:15" s="1" customFormat="1" hidden="1" outlineLevel="1" x14ac:dyDescent="0.25">
      <c r="A79" s="81" t="s">
        <v>151</v>
      </c>
      <c r="B79" s="40"/>
      <c r="C79" s="40"/>
      <c r="D79" s="40"/>
      <c r="J79" s="98"/>
      <c r="O79" s="49"/>
    </row>
    <row r="80" spans="1:15" hidden="1" x14ac:dyDescent="0.25">
      <c r="A80" s="33" t="s">
        <v>126</v>
      </c>
      <c r="B80" s="40">
        <f>8.0231620925531*B4</f>
        <v>33.69728078872302</v>
      </c>
      <c r="C80" s="40">
        <f>SUM(C81:C86)</f>
        <v>-40</v>
      </c>
      <c r="D80" s="40">
        <f>C80-B80</f>
        <v>-73.69728078872302</v>
      </c>
      <c r="H80" s="95"/>
      <c r="I80" s="95"/>
      <c r="J80" s="98"/>
      <c r="O80" s="48"/>
    </row>
    <row r="81" spans="1:15" hidden="1" outlineLevel="1" x14ac:dyDescent="0.25">
      <c r="A81" s="81" t="s">
        <v>152</v>
      </c>
      <c r="B81" s="40"/>
      <c r="C81" s="40">
        <f>-E144</f>
        <v>0</v>
      </c>
      <c r="D81" s="40"/>
      <c r="J81" s="98"/>
      <c r="O81" s="48"/>
    </row>
    <row r="82" spans="1:15" hidden="1" outlineLevel="1" x14ac:dyDescent="0.25">
      <c r="A82" s="81" t="s">
        <v>10</v>
      </c>
      <c r="B82" s="40"/>
      <c r="C82" s="40">
        <f>-SUM(B147:E147)</f>
        <v>-40</v>
      </c>
      <c r="D82" s="40"/>
      <c r="J82" s="98"/>
      <c r="O82" s="48"/>
    </row>
    <row r="83" spans="1:15" hidden="1" outlineLevel="1" x14ac:dyDescent="0.25">
      <c r="A83" s="81" t="s">
        <v>43</v>
      </c>
      <c r="B83" s="40"/>
      <c r="C83" s="40">
        <f>-B200</f>
        <v>0</v>
      </c>
      <c r="D83" s="40"/>
      <c r="J83" s="98"/>
      <c r="O83" s="48"/>
    </row>
    <row r="84" spans="1:15" hidden="1" outlineLevel="1" x14ac:dyDescent="0.25">
      <c r="A84" s="81" t="s">
        <v>194</v>
      </c>
      <c r="B84" s="40"/>
      <c r="C84" s="40">
        <f>B137-B195</f>
        <v>0</v>
      </c>
      <c r="D84" s="40"/>
      <c r="J84" s="98"/>
      <c r="O84" s="48"/>
    </row>
    <row r="85" spans="1:15" hidden="1" outlineLevel="1" x14ac:dyDescent="0.25">
      <c r="A85" s="81" t="s">
        <v>212</v>
      </c>
      <c r="B85" s="40"/>
      <c r="C85" s="40">
        <f>SUM(B135:E135)</f>
        <v>0</v>
      </c>
      <c r="D85" s="40"/>
      <c r="J85" s="98"/>
      <c r="O85" s="48"/>
    </row>
    <row r="86" spans="1:15" hidden="1" outlineLevel="1" x14ac:dyDescent="0.25">
      <c r="A86" s="81" t="s">
        <v>109</v>
      </c>
      <c r="B86" s="40"/>
      <c r="C86" s="40">
        <f>-SUM(C146:E146)</f>
        <v>0</v>
      </c>
      <c r="D86" s="40"/>
      <c r="J86" s="98"/>
      <c r="O86" s="48"/>
    </row>
    <row r="87" spans="1:15" hidden="1" x14ac:dyDescent="0.25">
      <c r="A87" s="33" t="s">
        <v>127</v>
      </c>
      <c r="B87" s="40">
        <f>-1.11999972306073*B4</f>
        <v>-4.7039988368550656</v>
      </c>
      <c r="C87" s="40"/>
      <c r="D87" s="40">
        <f t="shared" ref="D87:D88" si="0">C87-B87</f>
        <v>4.7039988368550656</v>
      </c>
      <c r="H87" s="95"/>
      <c r="I87" s="95"/>
      <c r="J87" s="98"/>
      <c r="O87" s="48"/>
    </row>
    <row r="88" spans="1:15" hidden="1" x14ac:dyDescent="0.25">
      <c r="A88" s="33" t="s">
        <v>128</v>
      </c>
      <c r="B88" s="40">
        <v>0</v>
      </c>
      <c r="C88" s="40"/>
      <c r="D88" s="40">
        <f t="shared" si="0"/>
        <v>0</v>
      </c>
      <c r="H88" s="95"/>
      <c r="I88" s="95"/>
      <c r="J88" s="98"/>
      <c r="O88" s="48"/>
    </row>
    <row r="89" spans="1:15" hidden="1" x14ac:dyDescent="0.25">
      <c r="A89" s="33" t="s">
        <v>129</v>
      </c>
      <c r="B89" s="40">
        <f>8.31321479356027*B4</f>
        <v>34.915502132953137</v>
      </c>
      <c r="C89" s="40">
        <f>SUM(C90:C91)</f>
        <v>39.243000000000002</v>
      </c>
      <c r="D89" s="40">
        <f>C89-B89</f>
        <v>4.3274978670468656</v>
      </c>
      <c r="H89" s="95"/>
      <c r="I89" s="95"/>
      <c r="J89" s="49"/>
      <c r="O89" s="48"/>
    </row>
    <row r="90" spans="1:15" hidden="1" outlineLevel="1" x14ac:dyDescent="0.25">
      <c r="A90" s="81" t="s">
        <v>59</v>
      </c>
      <c r="B90" s="40"/>
      <c r="C90" s="40">
        <f>SUM(B131:E131)</f>
        <v>39.243000000000002</v>
      </c>
      <c r="D90" s="40"/>
      <c r="J90" s="49"/>
      <c r="O90" s="48"/>
    </row>
    <row r="91" spans="1:15" hidden="1" outlineLevel="1" x14ac:dyDescent="0.25">
      <c r="A91" s="84" t="s">
        <v>145</v>
      </c>
      <c r="B91" s="41"/>
      <c r="C91" s="41">
        <f>-SUM(B151:E151)</f>
        <v>0</v>
      </c>
      <c r="D91" s="41"/>
      <c r="J91" s="49"/>
      <c r="O91" s="48"/>
    </row>
    <row r="92" spans="1:15" hidden="1" x14ac:dyDescent="0.25">
      <c r="A92" s="34"/>
      <c r="B92" s="40"/>
      <c r="C92" s="40"/>
      <c r="D92" s="40"/>
      <c r="J92" s="49"/>
      <c r="O92" s="48"/>
    </row>
    <row r="93" spans="1:15" hidden="1" x14ac:dyDescent="0.25">
      <c r="A93" s="35" t="s">
        <v>135</v>
      </c>
      <c r="B93" s="42">
        <f>B75+B80+B87+B88+B89</f>
        <v>-185.27721591517894</v>
      </c>
      <c r="C93" s="42">
        <f>C75+C80+C89+C88+C87</f>
        <v>-9.8194999999999979</v>
      </c>
      <c r="D93" s="42">
        <f>D75+D80+D87+D88+D89</f>
        <v>175.45771591517894</v>
      </c>
      <c r="H93" s="95"/>
      <c r="I93" s="95"/>
      <c r="J93" s="49"/>
      <c r="O93" s="48"/>
    </row>
    <row r="94" spans="1:15" hidden="1" x14ac:dyDescent="0.25">
      <c r="A94" s="36"/>
      <c r="B94" s="44"/>
      <c r="C94" s="44"/>
      <c r="D94" s="44"/>
      <c r="J94" s="49"/>
      <c r="O94" s="48"/>
    </row>
    <row r="95" spans="1:15" hidden="1" x14ac:dyDescent="0.25">
      <c r="A95" s="37" t="s">
        <v>136</v>
      </c>
      <c r="B95" s="45">
        <f>B93+B73</f>
        <v>-641.21835225035602</v>
      </c>
      <c r="C95" s="45" t="e">
        <f>C93+C73</f>
        <v>#REF!</v>
      </c>
      <c r="D95" s="45" t="e">
        <f t="shared" ref="D95" si="1">D93+D73</f>
        <v>#REF!</v>
      </c>
      <c r="H95" s="95"/>
      <c r="I95" s="95"/>
      <c r="J95" s="49"/>
      <c r="O95" s="48"/>
    </row>
    <row r="96" spans="1:15" hidden="1" x14ac:dyDescent="0.25">
      <c r="A96" s="34"/>
      <c r="B96" s="44"/>
      <c r="C96" s="44"/>
      <c r="D96" s="44"/>
      <c r="J96" s="49"/>
      <c r="O96" s="48"/>
    </row>
    <row r="97" spans="1:15" hidden="1" x14ac:dyDescent="0.25">
      <c r="A97" s="31" t="s">
        <v>130</v>
      </c>
      <c r="B97" s="43">
        <v>0</v>
      </c>
      <c r="C97" s="43"/>
      <c r="D97" s="43"/>
      <c r="J97" s="49"/>
      <c r="O97" s="48"/>
    </row>
    <row r="98" spans="1:15" hidden="1" x14ac:dyDescent="0.25">
      <c r="A98" s="33" t="s">
        <v>131</v>
      </c>
      <c r="B98" s="40">
        <v>0</v>
      </c>
      <c r="C98" s="40"/>
      <c r="D98" s="40"/>
      <c r="J98" s="49"/>
      <c r="O98" s="48"/>
    </row>
    <row r="99" spans="1:15" hidden="1" x14ac:dyDescent="0.25">
      <c r="A99" s="33" t="s">
        <v>132</v>
      </c>
      <c r="B99" s="40">
        <v>0</v>
      </c>
      <c r="C99" s="40"/>
      <c r="D99" s="40"/>
      <c r="J99" s="49"/>
      <c r="O99" s="48"/>
    </row>
    <row r="100" spans="1:15" hidden="1" x14ac:dyDescent="0.25">
      <c r="A100" s="33" t="s">
        <v>133</v>
      </c>
      <c r="B100" s="40">
        <f>-42.75*B4</f>
        <v>-179.55</v>
      </c>
      <c r="C100" s="40">
        <f>SUM(C101:C109)</f>
        <v>-55.078060000000001</v>
      </c>
      <c r="D100" s="40">
        <f>C100-B100</f>
        <v>124.47194000000002</v>
      </c>
      <c r="H100" s="95"/>
      <c r="I100" s="95"/>
      <c r="J100" s="49"/>
      <c r="O100" s="48"/>
    </row>
    <row r="101" spans="1:15" hidden="1" outlineLevel="1" x14ac:dyDescent="0.25">
      <c r="A101" s="81" t="s">
        <v>80</v>
      </c>
      <c r="B101" s="40"/>
      <c r="C101" s="40"/>
      <c r="D101" s="40"/>
      <c r="J101" s="49"/>
      <c r="O101" s="48"/>
    </row>
    <row r="102" spans="1:15" hidden="1" outlineLevel="1" x14ac:dyDescent="0.25">
      <c r="A102" s="81" t="s">
        <v>9</v>
      </c>
      <c r="B102" s="40"/>
      <c r="C102" s="40"/>
      <c r="D102" s="40"/>
      <c r="J102" s="49"/>
      <c r="O102" s="48"/>
    </row>
    <row r="103" spans="1:15" hidden="1" outlineLevel="1" x14ac:dyDescent="0.25">
      <c r="A103" s="81" t="s">
        <v>73</v>
      </c>
      <c r="B103" s="40"/>
      <c r="C103" s="40"/>
      <c r="D103" s="40"/>
      <c r="J103" s="49"/>
      <c r="O103" s="48"/>
    </row>
    <row r="104" spans="1:15" hidden="1" outlineLevel="1" x14ac:dyDescent="0.25">
      <c r="A104" s="81" t="s">
        <v>62</v>
      </c>
      <c r="B104" s="40"/>
      <c r="C104" s="40"/>
      <c r="D104" s="40"/>
      <c r="J104" s="49"/>
      <c r="O104" s="48"/>
    </row>
    <row r="105" spans="1:15" hidden="1" outlineLevel="1" x14ac:dyDescent="0.25">
      <c r="A105" s="81" t="s">
        <v>24</v>
      </c>
      <c r="B105" s="40"/>
      <c r="C105" s="40"/>
      <c r="D105" s="40"/>
      <c r="J105" s="49"/>
      <c r="O105" s="48"/>
    </row>
    <row r="106" spans="1:15" hidden="1" outlineLevel="1" x14ac:dyDescent="0.25">
      <c r="A106" s="81" t="s">
        <v>68</v>
      </c>
      <c r="B106" s="40"/>
      <c r="C106" s="40"/>
      <c r="D106" s="40"/>
      <c r="J106" s="49"/>
      <c r="O106" s="48"/>
    </row>
    <row r="107" spans="1:15" hidden="1" outlineLevel="1" x14ac:dyDescent="0.25">
      <c r="A107" s="81" t="s">
        <v>25</v>
      </c>
      <c r="B107" s="40"/>
      <c r="C107" s="40"/>
      <c r="D107" s="40"/>
      <c r="J107" s="49"/>
      <c r="O107" s="48"/>
    </row>
    <row r="108" spans="1:15" hidden="1" outlineLevel="1" x14ac:dyDescent="0.25">
      <c r="A108" s="81" t="s">
        <v>94</v>
      </c>
      <c r="B108" s="40"/>
      <c r="C108" s="40"/>
      <c r="D108" s="40"/>
      <c r="J108" s="49"/>
      <c r="O108" s="48"/>
    </row>
    <row r="109" spans="1:15" hidden="1" outlineLevel="1" x14ac:dyDescent="0.25">
      <c r="A109" s="84" t="s">
        <v>164</v>
      </c>
      <c r="B109" s="41"/>
      <c r="C109" s="41">
        <f>-SUM(D167:E167)</f>
        <v>-55.078060000000001</v>
      </c>
      <c r="D109" s="41"/>
      <c r="J109" s="49"/>
      <c r="O109" s="48"/>
    </row>
    <row r="110" spans="1:15" hidden="1" x14ac:dyDescent="0.25">
      <c r="A110" s="34"/>
      <c r="B110" s="44"/>
      <c r="C110" s="44"/>
      <c r="D110" s="44"/>
      <c r="J110" s="49"/>
      <c r="O110" s="48"/>
    </row>
    <row r="111" spans="1:15" hidden="1" x14ac:dyDescent="0.25">
      <c r="A111" s="35" t="s">
        <v>137</v>
      </c>
      <c r="B111" s="42">
        <f>SUM(B97:B100)</f>
        <v>-179.55</v>
      </c>
      <c r="C111" s="42">
        <f>SUM(C97:C100)</f>
        <v>-55.078060000000001</v>
      </c>
      <c r="D111" s="42">
        <f>SUM(D97:D100)</f>
        <v>124.47194000000002</v>
      </c>
      <c r="H111" s="95"/>
      <c r="I111" s="95"/>
      <c r="J111" s="49"/>
      <c r="O111" s="48"/>
    </row>
    <row r="112" spans="1:15" hidden="1" x14ac:dyDescent="0.25">
      <c r="A112" s="34"/>
      <c r="B112" s="44"/>
      <c r="C112" s="44"/>
      <c r="D112" s="44"/>
      <c r="J112" s="49"/>
      <c r="O112" s="48"/>
    </row>
    <row r="113" spans="1:15" hidden="1" x14ac:dyDescent="0.25">
      <c r="A113" s="37" t="s">
        <v>138</v>
      </c>
      <c r="B113" s="45">
        <f>B111+B95</f>
        <v>-820.76835225035597</v>
      </c>
      <c r="C113" s="45" t="e">
        <f>C111+C95</f>
        <v>#REF!</v>
      </c>
      <c r="D113" s="45" t="e">
        <f>D111+D95</f>
        <v>#REF!</v>
      </c>
      <c r="H113" s="95"/>
      <c r="I113" s="95"/>
      <c r="J113" s="49"/>
      <c r="O113" s="48"/>
    </row>
    <row r="114" spans="1:15" hidden="1" x14ac:dyDescent="0.25">
      <c r="C114" s="92"/>
      <c r="J114" s="49"/>
      <c r="K114" s="48"/>
      <c r="L114" s="48"/>
      <c r="M114" s="48"/>
      <c r="N114" s="48"/>
      <c r="O114" s="48"/>
    </row>
    <row r="115" spans="1:15" hidden="1" x14ac:dyDescent="0.25">
      <c r="C115" s="92"/>
      <c r="J115" s="49"/>
      <c r="K115" s="48"/>
      <c r="L115" s="48"/>
      <c r="M115" s="48"/>
      <c r="N115" s="48"/>
      <c r="O115" s="48"/>
    </row>
    <row r="116" spans="1:15" hidden="1" x14ac:dyDescent="0.25">
      <c r="C116" s="93"/>
      <c r="J116" s="49"/>
      <c r="K116" s="48"/>
      <c r="L116" s="48"/>
      <c r="M116" s="48"/>
      <c r="N116" s="48"/>
      <c r="O116" s="48"/>
    </row>
    <row r="117" spans="1:15" hidden="1" x14ac:dyDescent="0.25">
      <c r="J117" s="49"/>
      <c r="K117" s="48"/>
      <c r="L117" s="48"/>
      <c r="M117" s="48"/>
      <c r="N117" s="48"/>
      <c r="O117" s="48"/>
    </row>
    <row r="118" spans="1:15" hidden="1" x14ac:dyDescent="0.25">
      <c r="J118" s="49"/>
      <c r="K118" s="48"/>
      <c r="L118" s="48"/>
      <c r="M118" s="48"/>
      <c r="N118" s="48"/>
      <c r="O118" s="48"/>
    </row>
    <row r="119" spans="1:15" x14ac:dyDescent="0.25">
      <c r="A119" s="2" t="s">
        <v>6</v>
      </c>
      <c r="B119" s="13">
        <v>40</v>
      </c>
      <c r="C119" s="13">
        <v>41</v>
      </c>
      <c r="D119" s="13">
        <v>42</v>
      </c>
      <c r="E119" s="13">
        <v>43</v>
      </c>
      <c r="F119" s="13">
        <v>35</v>
      </c>
      <c r="I119" s="16">
        <v>2017</v>
      </c>
      <c r="J119" s="49"/>
      <c r="K119" s="48"/>
      <c r="L119" s="48"/>
      <c r="M119" s="48"/>
      <c r="N119" s="48"/>
      <c r="O119" s="48"/>
    </row>
    <row r="120" spans="1:15" x14ac:dyDescent="0.25">
      <c r="A120" s="2"/>
      <c r="B120" s="3" t="s">
        <v>365</v>
      </c>
      <c r="C120" s="3" t="s">
        <v>366</v>
      </c>
      <c r="D120" s="3" t="s">
        <v>367</v>
      </c>
      <c r="E120" s="3" t="s">
        <v>368</v>
      </c>
      <c r="F120" s="3" t="s">
        <v>353</v>
      </c>
      <c r="I120" s="17">
        <v>2016</v>
      </c>
      <c r="J120" s="49"/>
      <c r="K120" s="48"/>
      <c r="L120" s="48"/>
      <c r="M120" s="48"/>
      <c r="N120" s="48"/>
      <c r="O120" s="48"/>
    </row>
    <row r="121" spans="1:15" x14ac:dyDescent="0.25">
      <c r="A121" s="4" t="s">
        <v>0</v>
      </c>
      <c r="B121" s="5">
        <v>1077</v>
      </c>
      <c r="C121" s="5">
        <f>B238</f>
        <v>1097.8076699999999</v>
      </c>
      <c r="D121" s="5">
        <f>C238</f>
        <v>978.8945299999998</v>
      </c>
      <c r="E121" s="5">
        <f>D238</f>
        <v>1137.4943199999998</v>
      </c>
      <c r="F121" s="5">
        <f>E238</f>
        <v>1060.4034299999998</v>
      </c>
      <c r="G121" s="1"/>
      <c r="H121" s="1"/>
      <c r="J121" s="49"/>
      <c r="K121" s="48"/>
      <c r="L121" s="48"/>
      <c r="M121" s="48"/>
      <c r="N121" s="48"/>
      <c r="O121" s="48"/>
    </row>
    <row r="122" spans="1:15" x14ac:dyDescent="0.25">
      <c r="A122" s="15" t="s">
        <v>1</v>
      </c>
      <c r="B122" s="4"/>
      <c r="C122" s="4"/>
      <c r="D122" s="4"/>
      <c r="E122" s="4"/>
      <c r="F122" s="4"/>
      <c r="G122" s="49"/>
      <c r="H122" s="49"/>
      <c r="I122" s="49"/>
      <c r="J122" s="49"/>
      <c r="K122" s="48"/>
      <c r="L122" s="48"/>
      <c r="M122" s="48"/>
      <c r="N122" s="48"/>
      <c r="O122" s="48"/>
    </row>
    <row r="123" spans="1:15" hidden="1" x14ac:dyDescent="0.25">
      <c r="A123" s="2" t="s">
        <v>2</v>
      </c>
      <c r="B123" s="6"/>
      <c r="C123" s="6"/>
      <c r="D123" s="6"/>
      <c r="E123" s="6"/>
      <c r="F123" s="6"/>
      <c r="G123" s="49"/>
      <c r="H123" s="49"/>
      <c r="I123" s="49"/>
      <c r="J123" s="49"/>
      <c r="K123" s="48"/>
      <c r="L123" s="48"/>
      <c r="M123" s="48"/>
      <c r="N123" s="48"/>
      <c r="O123" s="48"/>
    </row>
    <row r="124" spans="1:15" hidden="1" x14ac:dyDescent="0.25">
      <c r="A124" s="2" t="s">
        <v>39</v>
      </c>
      <c r="B124" s="2"/>
      <c r="C124" s="2"/>
      <c r="D124" s="2"/>
      <c r="E124" s="2"/>
      <c r="F124" s="2"/>
      <c r="G124" s="49"/>
      <c r="H124" s="49"/>
      <c r="I124" s="49"/>
      <c r="J124" s="49"/>
      <c r="K124" s="48"/>
      <c r="L124" s="48"/>
      <c r="M124" s="48"/>
      <c r="N124" s="48"/>
      <c r="O124" s="48"/>
    </row>
    <row r="125" spans="1:15" hidden="1" x14ac:dyDescent="0.25">
      <c r="A125" s="2" t="s">
        <v>3</v>
      </c>
      <c r="B125" s="2"/>
      <c r="C125" s="2"/>
      <c r="D125" s="2"/>
      <c r="E125" s="2"/>
      <c r="F125" s="2"/>
      <c r="G125" s="49"/>
      <c r="H125" s="49"/>
      <c r="I125" s="49"/>
      <c r="J125" s="49"/>
      <c r="K125" s="48"/>
      <c r="L125" s="48"/>
      <c r="M125" s="48"/>
      <c r="N125" s="48"/>
      <c r="O125" s="48"/>
    </row>
    <row r="126" spans="1:15" hidden="1" x14ac:dyDescent="0.25">
      <c r="A126" s="2" t="s">
        <v>4</v>
      </c>
      <c r="B126" s="2"/>
      <c r="C126" s="2"/>
      <c r="D126" s="2"/>
      <c r="E126" s="2"/>
      <c r="F126" s="2"/>
      <c r="G126" s="49"/>
      <c r="H126" s="49"/>
      <c r="I126" s="49"/>
      <c r="J126" s="49"/>
      <c r="K126" s="48"/>
      <c r="L126" s="48"/>
      <c r="M126" s="48"/>
      <c r="N126" s="48"/>
      <c r="O126" s="48"/>
    </row>
    <row r="127" spans="1:15" hidden="1" x14ac:dyDescent="0.25">
      <c r="A127" s="2" t="s">
        <v>32</v>
      </c>
      <c r="B127" s="2"/>
      <c r="C127" s="2"/>
      <c r="D127" s="2"/>
      <c r="E127" s="2"/>
      <c r="F127" s="2"/>
      <c r="G127" s="49"/>
      <c r="H127" s="49"/>
      <c r="I127" s="49"/>
      <c r="J127" s="49"/>
      <c r="K127" s="48"/>
      <c r="L127" s="48"/>
      <c r="M127" s="48"/>
      <c r="N127" s="48"/>
      <c r="O127" s="48"/>
    </row>
    <row r="128" spans="1:15" hidden="1" x14ac:dyDescent="0.25">
      <c r="A128" s="2" t="s">
        <v>74</v>
      </c>
      <c r="B128" s="2"/>
      <c r="C128" s="2"/>
      <c r="D128" s="2"/>
      <c r="E128" s="2"/>
      <c r="F128" s="2"/>
      <c r="G128" s="49"/>
      <c r="H128" s="49"/>
      <c r="I128" s="49"/>
      <c r="J128" s="49"/>
      <c r="K128" s="48"/>
      <c r="L128" s="48"/>
      <c r="M128" s="48"/>
      <c r="N128" s="48"/>
      <c r="O128" s="48"/>
    </row>
    <row r="129" spans="1:15" hidden="1" x14ac:dyDescent="0.25">
      <c r="A129" s="2" t="s">
        <v>217</v>
      </c>
      <c r="B129" s="2"/>
      <c r="C129" s="2"/>
      <c r="D129" s="2"/>
      <c r="E129" s="2"/>
      <c r="F129" s="2"/>
      <c r="G129" s="49"/>
      <c r="H129" s="49"/>
      <c r="I129" s="49"/>
      <c r="J129" s="49"/>
      <c r="K129" s="48"/>
      <c r="L129" s="48"/>
      <c r="M129" s="48"/>
      <c r="N129" s="48"/>
      <c r="O129" s="48"/>
    </row>
    <row r="130" spans="1:15" hidden="1" x14ac:dyDescent="0.25">
      <c r="A130" s="2" t="s">
        <v>99</v>
      </c>
      <c r="B130" s="2"/>
      <c r="C130" s="2"/>
      <c r="D130" s="2"/>
      <c r="E130" s="2"/>
      <c r="F130" s="2"/>
      <c r="G130" s="49"/>
      <c r="H130" s="49"/>
      <c r="I130" s="49"/>
      <c r="J130" s="49"/>
      <c r="K130" s="48"/>
      <c r="L130" s="48"/>
      <c r="M130" s="48"/>
      <c r="N130" s="48"/>
      <c r="O130" s="48"/>
    </row>
    <row r="131" spans="1:15" x14ac:dyDescent="0.25">
      <c r="A131" s="2" t="s">
        <v>59</v>
      </c>
      <c r="B131" s="2"/>
      <c r="C131" s="2"/>
      <c r="D131" s="2"/>
      <c r="E131" s="6">
        <v>39.243000000000002</v>
      </c>
      <c r="F131" s="6"/>
      <c r="G131" s="49"/>
      <c r="H131" s="49"/>
      <c r="I131" s="49"/>
    </row>
    <row r="132" spans="1:15" x14ac:dyDescent="0.25">
      <c r="A132" s="2" t="s">
        <v>33</v>
      </c>
      <c r="B132" s="2"/>
      <c r="C132" s="2">
        <v>100</v>
      </c>
      <c r="D132" s="2"/>
      <c r="E132" s="2"/>
      <c r="F132" s="2"/>
      <c r="G132" s="49"/>
      <c r="H132" s="49"/>
      <c r="I132" s="49"/>
    </row>
    <row r="133" spans="1:15" x14ac:dyDescent="0.25">
      <c r="A133" s="2" t="s">
        <v>214</v>
      </c>
      <c r="B133" s="2"/>
      <c r="C133" s="6">
        <v>188.8</v>
      </c>
      <c r="D133" s="6">
        <v>188.18</v>
      </c>
      <c r="E133" s="6">
        <f>5.82+189.968</f>
        <v>195.78799999999998</v>
      </c>
      <c r="F133" s="6"/>
      <c r="G133" s="49"/>
      <c r="H133" s="49"/>
      <c r="I133" s="49"/>
    </row>
    <row r="134" spans="1:15" x14ac:dyDescent="0.25">
      <c r="A134" s="2" t="s">
        <v>96</v>
      </c>
      <c r="B134" s="2">
        <v>49</v>
      </c>
      <c r="C134" s="6">
        <v>8.08</v>
      </c>
      <c r="D134" s="2"/>
      <c r="E134" s="14">
        <v>35.700000000000003</v>
      </c>
      <c r="F134" s="2"/>
      <c r="G134" s="49"/>
      <c r="H134" s="49"/>
      <c r="I134" s="49"/>
    </row>
    <row r="135" spans="1:15" x14ac:dyDescent="0.25">
      <c r="A135" s="2" t="s">
        <v>97</v>
      </c>
      <c r="B135" s="2"/>
      <c r="C135" s="2"/>
      <c r="D135" s="2"/>
      <c r="E135" s="2"/>
      <c r="F135" s="2"/>
      <c r="G135" s="49"/>
      <c r="H135" s="49"/>
      <c r="I135" s="49"/>
      <c r="J135" s="49"/>
      <c r="K135" s="48"/>
      <c r="L135" s="48"/>
      <c r="M135" s="48"/>
      <c r="N135" s="48"/>
      <c r="O135" s="48"/>
    </row>
    <row r="136" spans="1:15" hidden="1" x14ac:dyDescent="0.25">
      <c r="A136" s="2" t="s">
        <v>357</v>
      </c>
      <c r="B136" s="2"/>
      <c r="C136" s="2"/>
      <c r="D136" s="14"/>
      <c r="E136" s="14"/>
      <c r="F136" s="2"/>
      <c r="G136" s="49"/>
      <c r="H136" s="49"/>
      <c r="I136" s="49"/>
      <c r="J136" s="49"/>
      <c r="K136" s="48"/>
      <c r="L136" s="48"/>
      <c r="M136" s="48"/>
      <c r="N136" s="48"/>
      <c r="O136" s="48"/>
    </row>
    <row r="137" spans="1:15" hidden="1" x14ac:dyDescent="0.25">
      <c r="A137" s="2" t="s">
        <v>356</v>
      </c>
      <c r="B137" s="6"/>
      <c r="C137" s="6"/>
      <c r="D137" s="2"/>
      <c r="E137" s="14"/>
      <c r="F137" s="2"/>
      <c r="G137" s="49"/>
      <c r="H137" s="49"/>
      <c r="I137" s="49"/>
      <c r="J137" s="49"/>
      <c r="K137" s="48"/>
      <c r="L137" s="48"/>
      <c r="M137" s="48"/>
      <c r="N137" s="48"/>
      <c r="O137" s="48"/>
    </row>
    <row r="138" spans="1:15" x14ac:dyDescent="0.25">
      <c r="A138" s="2"/>
      <c r="B138" s="2"/>
      <c r="C138" s="2"/>
      <c r="D138" s="2"/>
      <c r="E138" s="2"/>
      <c r="F138" s="2"/>
      <c r="G138" s="49"/>
      <c r="H138" s="49"/>
      <c r="I138" s="49"/>
      <c r="J138" s="49"/>
      <c r="K138" s="48"/>
      <c r="L138" s="48"/>
      <c r="M138" s="48"/>
      <c r="N138" s="48"/>
      <c r="O138" s="48"/>
    </row>
    <row r="139" spans="1:15" x14ac:dyDescent="0.25">
      <c r="A139" s="7" t="s">
        <v>7</v>
      </c>
      <c r="B139" s="8">
        <f>SUM(B123:B138)</f>
        <v>49</v>
      </c>
      <c r="C139" s="8">
        <f>SUM(C123:C138)</f>
        <v>296.88</v>
      </c>
      <c r="D139" s="8">
        <f>SUM(D123:D138)</f>
        <v>188.18</v>
      </c>
      <c r="E139" s="8">
        <f>SUM(E123:E138)</f>
        <v>270.73099999999999</v>
      </c>
      <c r="F139" s="8">
        <f>SUM(F123:F138)</f>
        <v>0</v>
      </c>
      <c r="G139" s="49"/>
      <c r="H139" s="49"/>
      <c r="I139" s="49"/>
      <c r="J139" s="49"/>
      <c r="K139" s="48"/>
      <c r="L139" s="48"/>
      <c r="M139" s="48"/>
      <c r="N139" s="48"/>
      <c r="O139" s="48"/>
    </row>
    <row r="140" spans="1:15" x14ac:dyDescent="0.25">
      <c r="A140" s="15" t="s">
        <v>5</v>
      </c>
      <c r="B140" s="4"/>
      <c r="C140" s="4"/>
      <c r="D140" s="4"/>
      <c r="E140" s="4"/>
      <c r="F140" s="4"/>
      <c r="G140" s="49"/>
      <c r="H140" s="49"/>
      <c r="I140" s="49"/>
      <c r="J140" s="49"/>
      <c r="K140" s="48"/>
      <c r="L140" s="48"/>
      <c r="M140" s="48"/>
      <c r="N140" s="48"/>
      <c r="O140" s="48"/>
    </row>
    <row r="141" spans="1:15" x14ac:dyDescent="0.25">
      <c r="A141" s="85" t="s">
        <v>103</v>
      </c>
      <c r="B141" s="110"/>
      <c r="C141" s="110">
        <f>118.193</f>
        <v>118.193</v>
      </c>
      <c r="D141" s="110"/>
      <c r="E141" s="110">
        <v>46</v>
      </c>
      <c r="F141" s="110"/>
      <c r="G141" s="49"/>
      <c r="H141" s="49"/>
      <c r="I141" s="49"/>
    </row>
    <row r="142" spans="1:15" x14ac:dyDescent="0.25">
      <c r="A142" s="85" t="s">
        <v>224</v>
      </c>
      <c r="B142" s="110"/>
      <c r="C142" s="92">
        <v>101.014</v>
      </c>
      <c r="D142" s="110"/>
      <c r="E142" s="110"/>
      <c r="F142" s="110"/>
      <c r="G142" s="49"/>
      <c r="H142" s="49"/>
      <c r="I142" s="49"/>
    </row>
    <row r="143" spans="1:15" x14ac:dyDescent="0.25">
      <c r="A143" s="61" t="s">
        <v>147</v>
      </c>
      <c r="B143" s="110"/>
      <c r="C143" s="110"/>
      <c r="D143" s="110"/>
      <c r="E143" s="110">
        <v>202.71600000000001</v>
      </c>
      <c r="F143" s="110"/>
      <c r="G143" s="68"/>
      <c r="H143" s="68"/>
      <c r="I143" s="69"/>
      <c r="J143" s="49"/>
      <c r="K143" s="48"/>
      <c r="L143" s="48"/>
      <c r="M143" s="48"/>
      <c r="N143" s="48"/>
      <c r="O143" s="48"/>
    </row>
    <row r="144" spans="1:15" x14ac:dyDescent="0.25">
      <c r="A144" s="61" t="s">
        <v>152</v>
      </c>
      <c r="B144" s="110"/>
      <c r="C144" s="110"/>
      <c r="D144" s="110"/>
      <c r="E144" s="110"/>
      <c r="F144" s="110"/>
      <c r="G144" s="106">
        <f>SUM(B143:E144)</f>
        <v>202.71600000000001</v>
      </c>
      <c r="H144" s="71" t="s">
        <v>156</v>
      </c>
      <c r="I144" s="72"/>
      <c r="J144" s="49"/>
      <c r="K144" s="48"/>
      <c r="L144" s="48"/>
      <c r="M144" s="48"/>
      <c r="N144" s="48"/>
      <c r="O144" s="48"/>
    </row>
    <row r="145" spans="1:15" x14ac:dyDescent="0.25">
      <c r="A145" s="9" t="s">
        <v>29</v>
      </c>
      <c r="B145" s="110"/>
      <c r="C145" s="110">
        <v>72.399600000000007</v>
      </c>
      <c r="D145" s="110"/>
      <c r="E145" s="110"/>
      <c r="F145" s="110"/>
      <c r="G145" s="49"/>
      <c r="H145" s="49"/>
      <c r="I145" s="49"/>
      <c r="J145" s="49"/>
      <c r="K145" s="48"/>
      <c r="L145" s="48"/>
      <c r="M145" s="48"/>
      <c r="N145" s="48"/>
      <c r="O145" s="48"/>
    </row>
    <row r="146" spans="1:15" x14ac:dyDescent="0.25">
      <c r="A146" s="10" t="s">
        <v>189</v>
      </c>
      <c r="B146" s="110"/>
      <c r="C146" s="110"/>
      <c r="D146" s="110"/>
      <c r="E146" s="110"/>
      <c r="F146" s="110"/>
      <c r="G146" s="49"/>
      <c r="H146" s="49"/>
      <c r="I146" s="49"/>
      <c r="J146" s="49"/>
      <c r="K146" s="48"/>
      <c r="L146" s="48"/>
      <c r="M146" s="48"/>
      <c r="N146" s="48"/>
      <c r="O146" s="48"/>
    </row>
    <row r="147" spans="1:15" x14ac:dyDescent="0.25">
      <c r="A147" s="10" t="s">
        <v>10</v>
      </c>
      <c r="B147" s="110">
        <v>10</v>
      </c>
      <c r="C147" s="110">
        <v>10</v>
      </c>
      <c r="D147" s="110">
        <v>10</v>
      </c>
      <c r="E147" s="110">
        <v>10</v>
      </c>
      <c r="F147" s="110"/>
      <c r="G147" s="49"/>
      <c r="H147" s="49"/>
      <c r="I147" s="49"/>
      <c r="J147" s="49"/>
      <c r="K147" s="48"/>
      <c r="L147" s="48"/>
      <c r="M147" s="48"/>
      <c r="N147" s="48"/>
      <c r="O147" s="48"/>
    </row>
    <row r="148" spans="1:15" x14ac:dyDescent="0.25">
      <c r="A148" s="2" t="s">
        <v>73</v>
      </c>
      <c r="B148" s="110"/>
      <c r="C148" s="110">
        <v>1.4039999999999999</v>
      </c>
      <c r="D148" s="110"/>
      <c r="E148" s="110">
        <v>5.3233600000000001</v>
      </c>
      <c r="F148" s="124"/>
      <c r="G148" s="49"/>
      <c r="H148" s="49"/>
      <c r="I148" s="49"/>
      <c r="J148" s="49"/>
      <c r="K148" s="48"/>
      <c r="L148" s="48"/>
      <c r="M148" s="48"/>
      <c r="N148" s="48"/>
      <c r="O148" s="48"/>
    </row>
    <row r="149" spans="1:15" x14ac:dyDescent="0.25">
      <c r="A149" s="2" t="s">
        <v>52</v>
      </c>
      <c r="B149" s="110"/>
      <c r="C149" s="110"/>
      <c r="D149" s="110"/>
      <c r="E149" s="110">
        <v>4.0144799999999998</v>
      </c>
      <c r="F149" s="124"/>
      <c r="G149" s="49"/>
      <c r="H149" s="49"/>
      <c r="I149" s="49"/>
      <c r="J149" s="49"/>
      <c r="K149" s="48"/>
      <c r="L149" s="48"/>
      <c r="M149" s="48"/>
      <c r="N149" s="48"/>
      <c r="O149" s="48"/>
    </row>
    <row r="150" spans="1:15" x14ac:dyDescent="0.25">
      <c r="A150" s="10" t="s">
        <v>12</v>
      </c>
      <c r="B150" s="110"/>
      <c r="C150" s="110">
        <v>1.50701</v>
      </c>
      <c r="D150" s="110"/>
      <c r="E150" s="110">
        <v>2.0009999999999999</v>
      </c>
      <c r="F150" s="124"/>
      <c r="G150" s="49"/>
      <c r="H150" s="49"/>
      <c r="I150" s="49"/>
      <c r="J150" s="49"/>
      <c r="K150" s="48"/>
      <c r="L150" s="48"/>
      <c r="M150" s="48"/>
      <c r="N150" s="48"/>
      <c r="O150" s="48"/>
    </row>
    <row r="151" spans="1:15" x14ac:dyDescent="0.25">
      <c r="A151" s="59" t="s">
        <v>145</v>
      </c>
      <c r="B151" s="110"/>
      <c r="C151" s="110"/>
      <c r="D151" s="110"/>
      <c r="E151" s="110"/>
      <c r="F151" s="110"/>
      <c r="G151" s="68"/>
      <c r="H151" s="68"/>
      <c r="I151" s="69"/>
      <c r="J151" s="49"/>
      <c r="K151" s="48"/>
      <c r="L151" s="48"/>
      <c r="M151" s="48"/>
      <c r="N151" s="48"/>
      <c r="O151" s="48"/>
    </row>
    <row r="152" spans="1:15" x14ac:dyDescent="0.25">
      <c r="A152" s="59" t="s">
        <v>146</v>
      </c>
      <c r="B152" s="110"/>
      <c r="C152" s="110"/>
      <c r="D152" s="110"/>
      <c r="E152" s="110"/>
      <c r="F152" s="110"/>
      <c r="G152" s="106">
        <f>SUM(B151:E152)</f>
        <v>0</v>
      </c>
      <c r="H152" s="71" t="s">
        <v>155</v>
      </c>
      <c r="I152" s="72"/>
      <c r="J152" s="49"/>
      <c r="K152" s="48"/>
      <c r="L152" s="48"/>
      <c r="M152" s="48"/>
      <c r="N152" s="48"/>
      <c r="O152" s="48"/>
    </row>
    <row r="153" spans="1:15" x14ac:dyDescent="0.25">
      <c r="A153" s="2" t="s">
        <v>24</v>
      </c>
      <c r="B153" s="110"/>
      <c r="C153" s="110"/>
      <c r="D153" s="110"/>
      <c r="E153" s="110"/>
      <c r="F153" s="110"/>
      <c r="G153" s="64"/>
      <c r="H153" s="64"/>
      <c r="I153" s="64"/>
      <c r="J153" s="49"/>
      <c r="K153" s="48"/>
      <c r="L153" s="48"/>
      <c r="M153" s="48"/>
      <c r="N153" s="48"/>
      <c r="O153" s="48"/>
    </row>
    <row r="154" spans="1:15" x14ac:dyDescent="0.25">
      <c r="A154" s="2" t="s">
        <v>68</v>
      </c>
      <c r="B154" s="110"/>
      <c r="D154" s="110"/>
      <c r="E154" s="110">
        <v>5.7775999999999996</v>
      </c>
      <c r="F154" s="110"/>
      <c r="G154" s="64"/>
      <c r="H154" s="64"/>
      <c r="I154" s="64"/>
      <c r="J154" s="49"/>
      <c r="K154" s="48"/>
      <c r="L154" s="48"/>
      <c r="M154" s="48"/>
      <c r="N154" s="48"/>
      <c r="O154" s="48"/>
    </row>
    <row r="155" spans="1:15" x14ac:dyDescent="0.25">
      <c r="A155" s="59" t="s">
        <v>148</v>
      </c>
      <c r="B155" s="110"/>
      <c r="C155" s="110"/>
      <c r="D155" s="110"/>
      <c r="E155" s="110"/>
      <c r="F155" s="110"/>
      <c r="G155" s="68"/>
      <c r="H155" s="68"/>
      <c r="I155" s="69"/>
      <c r="J155" s="49"/>
      <c r="K155" s="48"/>
      <c r="L155" s="48"/>
      <c r="M155" s="48"/>
      <c r="N155" s="48"/>
      <c r="O155" s="48"/>
    </row>
    <row r="156" spans="1:15" x14ac:dyDescent="0.25">
      <c r="A156" s="59" t="s">
        <v>149</v>
      </c>
      <c r="B156" s="110"/>
      <c r="C156" s="110"/>
      <c r="D156" s="110"/>
      <c r="E156" s="110"/>
      <c r="F156" s="110"/>
      <c r="G156" s="106">
        <f>SUM(B155:E156)</f>
        <v>0</v>
      </c>
      <c r="H156" s="71" t="s">
        <v>157</v>
      </c>
      <c r="I156" s="72"/>
      <c r="J156" s="49"/>
      <c r="K156" s="48"/>
      <c r="L156" s="48"/>
      <c r="M156" s="48"/>
      <c r="N156" s="48"/>
      <c r="O156" s="48"/>
    </row>
    <row r="157" spans="1:15" x14ac:dyDescent="0.25">
      <c r="A157" s="59" t="s">
        <v>151</v>
      </c>
      <c r="B157" s="110"/>
      <c r="C157" s="110"/>
      <c r="D157" s="110"/>
      <c r="E157" s="110"/>
      <c r="F157" s="110"/>
      <c r="G157" s="68"/>
      <c r="H157" s="68"/>
      <c r="I157" s="69"/>
      <c r="J157" s="49"/>
      <c r="K157" s="48"/>
      <c r="L157" s="48"/>
      <c r="M157" s="48"/>
      <c r="N157" s="48"/>
      <c r="O157" s="48"/>
    </row>
    <row r="158" spans="1:15" x14ac:dyDescent="0.25">
      <c r="A158" s="59" t="s">
        <v>150</v>
      </c>
      <c r="B158" s="110"/>
      <c r="C158" s="110">
        <v>0</v>
      </c>
      <c r="D158" s="110">
        <v>0.315</v>
      </c>
      <c r="E158" s="110">
        <v>0</v>
      </c>
      <c r="F158" s="110"/>
      <c r="G158" s="106">
        <f>SUM(B157:E158)</f>
        <v>0.315</v>
      </c>
      <c r="H158" s="71" t="s">
        <v>158</v>
      </c>
      <c r="I158" s="72"/>
      <c r="J158" s="49"/>
      <c r="K158" s="48"/>
      <c r="L158" s="48"/>
      <c r="M158" s="48"/>
      <c r="N158" s="48"/>
      <c r="O158" s="48"/>
    </row>
    <row r="159" spans="1:15" x14ac:dyDescent="0.25">
      <c r="A159" s="2" t="s">
        <v>94</v>
      </c>
      <c r="B159" s="110"/>
      <c r="C159" s="110"/>
      <c r="D159" s="110"/>
      <c r="E159" s="110"/>
      <c r="F159" s="110"/>
      <c r="G159" s="49"/>
      <c r="H159" s="49"/>
      <c r="I159" s="49"/>
      <c r="J159" s="49"/>
      <c r="K159" s="48"/>
      <c r="L159" s="48"/>
      <c r="M159" s="48"/>
      <c r="N159" s="48"/>
      <c r="O159" s="48"/>
    </row>
    <row r="160" spans="1:15" x14ac:dyDescent="0.25">
      <c r="A160" s="100" t="s">
        <v>226</v>
      </c>
      <c r="B160" s="110"/>
      <c r="C160" s="110">
        <v>48.046999999999997</v>
      </c>
      <c r="D160" s="110"/>
      <c r="E160" s="110"/>
      <c r="F160" s="110"/>
      <c r="G160" s="49"/>
      <c r="H160" s="49"/>
      <c r="I160" s="49"/>
      <c r="J160" s="49"/>
      <c r="K160" s="48"/>
      <c r="L160" s="48"/>
      <c r="M160" s="48"/>
      <c r="N160" s="48"/>
      <c r="O160" s="48"/>
    </row>
    <row r="161" spans="1:15" hidden="1" x14ac:dyDescent="0.25">
      <c r="A161" s="100" t="s">
        <v>193</v>
      </c>
      <c r="B161" s="110"/>
      <c r="C161" s="110"/>
      <c r="D161" s="110"/>
      <c r="E161" s="110"/>
      <c r="F161" s="110"/>
      <c r="G161" s="49"/>
      <c r="H161" s="49"/>
      <c r="I161" s="49"/>
      <c r="J161" s="49"/>
      <c r="K161" s="48"/>
      <c r="L161" s="48"/>
      <c r="M161" s="48"/>
      <c r="N161" s="48"/>
      <c r="O161" s="48"/>
    </row>
    <row r="162" spans="1:15" x14ac:dyDescent="0.25">
      <c r="A162" s="2" t="s">
        <v>98</v>
      </c>
      <c r="B162" s="110"/>
      <c r="C162" s="110">
        <v>4</v>
      </c>
      <c r="D162" s="110"/>
      <c r="E162" s="110"/>
      <c r="F162" s="110"/>
      <c r="G162" s="49"/>
      <c r="H162" s="49"/>
      <c r="I162" s="49"/>
      <c r="J162" s="49"/>
      <c r="K162" s="48"/>
      <c r="L162" s="48"/>
      <c r="M162" s="48"/>
      <c r="N162" s="48"/>
      <c r="O162" s="48"/>
    </row>
    <row r="163" spans="1:15" x14ac:dyDescent="0.25">
      <c r="A163" s="2" t="s">
        <v>42</v>
      </c>
      <c r="B163" s="110"/>
      <c r="C163" s="110"/>
      <c r="D163" s="110"/>
      <c r="E163" s="110"/>
      <c r="F163" s="110"/>
      <c r="G163" s="49"/>
      <c r="H163" s="49"/>
      <c r="I163" s="49"/>
      <c r="J163" s="49"/>
      <c r="K163" s="48"/>
      <c r="L163" s="48"/>
      <c r="M163" s="48"/>
      <c r="N163" s="48"/>
      <c r="O163" s="48"/>
    </row>
    <row r="164" spans="1:15" x14ac:dyDescent="0.25">
      <c r="A164" s="2" t="s">
        <v>76</v>
      </c>
      <c r="B164" s="110"/>
      <c r="C164" s="110">
        <v>0</v>
      </c>
      <c r="E164" s="110">
        <v>0</v>
      </c>
      <c r="F164" s="110"/>
      <c r="G164" s="49"/>
      <c r="H164" s="49"/>
      <c r="I164" s="49"/>
      <c r="J164" s="49"/>
      <c r="K164" s="48"/>
      <c r="L164" s="48"/>
      <c r="M164" s="48"/>
      <c r="N164" s="48"/>
      <c r="O164" s="48"/>
    </row>
    <row r="165" spans="1:15" x14ac:dyDescent="0.25">
      <c r="A165" s="2" t="s">
        <v>30</v>
      </c>
      <c r="B165" s="2"/>
      <c r="D165" s="110">
        <v>4.0186099999999998</v>
      </c>
      <c r="E165" s="110"/>
      <c r="F165" s="124"/>
      <c r="G165" s="49"/>
      <c r="H165" s="49"/>
      <c r="I165" s="49"/>
      <c r="J165" s="49"/>
      <c r="K165" s="48"/>
      <c r="L165" s="48"/>
      <c r="M165" s="48"/>
      <c r="N165" s="48"/>
      <c r="O165" s="48"/>
    </row>
    <row r="166" spans="1:15" x14ac:dyDescent="0.25">
      <c r="A166" s="9" t="s">
        <v>15</v>
      </c>
      <c r="B166" s="110">
        <v>15.65549</v>
      </c>
      <c r="C166" s="110"/>
      <c r="D166" s="110"/>
      <c r="E166" s="110"/>
      <c r="F166" s="124"/>
      <c r="G166" s="49"/>
      <c r="H166" s="49"/>
      <c r="I166" s="49"/>
      <c r="J166" s="49"/>
      <c r="K166" s="48"/>
      <c r="L166" s="48"/>
      <c r="M166" s="48"/>
      <c r="N166" s="48"/>
      <c r="O166" s="48"/>
    </row>
    <row r="167" spans="1:15" x14ac:dyDescent="0.25">
      <c r="A167" s="2" t="s">
        <v>34</v>
      </c>
      <c r="C167" s="110"/>
      <c r="D167" s="110">
        <v>3</v>
      </c>
      <c r="E167" s="110">
        <v>52.078060000000001</v>
      </c>
      <c r="F167" s="110"/>
      <c r="G167" s="49"/>
      <c r="H167" s="49"/>
      <c r="I167" s="49"/>
      <c r="J167" s="49"/>
      <c r="K167" s="48"/>
      <c r="L167" s="48"/>
      <c r="M167" s="48"/>
      <c r="N167" s="48"/>
      <c r="O167" s="48"/>
    </row>
    <row r="168" spans="1:15" x14ac:dyDescent="0.25">
      <c r="A168" s="2" t="s">
        <v>41</v>
      </c>
      <c r="B168" s="110"/>
      <c r="C168" s="110">
        <v>0.45017000000000001</v>
      </c>
      <c r="D168" s="110"/>
      <c r="E168" s="110"/>
      <c r="F168" s="110"/>
      <c r="G168" s="49"/>
      <c r="H168" s="49"/>
      <c r="I168" s="49"/>
      <c r="J168" s="49"/>
      <c r="K168" s="48"/>
      <c r="L168" s="48"/>
      <c r="M168" s="48"/>
      <c r="N168" s="48"/>
      <c r="O168" s="48"/>
    </row>
    <row r="169" spans="1:15" x14ac:dyDescent="0.25">
      <c r="A169" s="2" t="s">
        <v>36</v>
      </c>
      <c r="B169" s="110"/>
      <c r="C169" s="92">
        <v>0.14526</v>
      </c>
      <c r="D169" s="2"/>
      <c r="E169" s="110"/>
      <c r="F169" s="110"/>
      <c r="G169" s="49"/>
      <c r="H169" s="49"/>
      <c r="I169" s="49"/>
      <c r="J169" s="49"/>
      <c r="K169" s="48"/>
      <c r="L169" s="48"/>
      <c r="M169" s="48"/>
      <c r="N169" s="48"/>
      <c r="O169" s="48"/>
    </row>
    <row r="170" spans="1:15" s="1" customFormat="1" x14ac:dyDescent="0.25">
      <c r="A170" s="2" t="s">
        <v>54</v>
      </c>
      <c r="B170" s="4"/>
      <c r="C170" s="126"/>
      <c r="D170" s="110">
        <v>5.2787600000000001</v>
      </c>
      <c r="E170" s="110"/>
      <c r="F170" s="110"/>
      <c r="G170" s="49"/>
      <c r="H170" s="49"/>
      <c r="I170" s="49"/>
      <c r="J170" s="49"/>
      <c r="K170" s="48"/>
      <c r="L170" s="48"/>
      <c r="M170" s="48"/>
      <c r="N170" s="48"/>
      <c r="O170" s="48"/>
    </row>
    <row r="171" spans="1:15" x14ac:dyDescent="0.25">
      <c r="A171" s="2" t="s">
        <v>23</v>
      </c>
      <c r="B171" s="2"/>
      <c r="D171" s="2"/>
      <c r="E171" s="110"/>
      <c r="F171" s="110"/>
      <c r="G171" s="49"/>
      <c r="H171" s="49"/>
      <c r="I171" s="49"/>
    </row>
    <row r="172" spans="1:15" x14ac:dyDescent="0.25">
      <c r="A172" s="2" t="s">
        <v>40</v>
      </c>
      <c r="B172" s="2"/>
      <c r="C172" s="127"/>
      <c r="D172" s="2"/>
      <c r="E172" s="86">
        <v>5.4478200000000001</v>
      </c>
      <c r="F172" s="2"/>
      <c r="G172" s="49"/>
      <c r="H172" s="49"/>
      <c r="I172" s="49"/>
    </row>
    <row r="173" spans="1:15" x14ac:dyDescent="0.25">
      <c r="A173" s="2" t="s">
        <v>346</v>
      </c>
      <c r="B173" s="86"/>
      <c r="C173" s="86">
        <v>13.5</v>
      </c>
      <c r="D173" s="86"/>
      <c r="E173" s="86"/>
      <c r="F173" s="86"/>
      <c r="G173" s="49"/>
      <c r="H173" s="49"/>
      <c r="I173" s="49"/>
    </row>
    <row r="174" spans="1:15" s="1" customFormat="1" x14ac:dyDescent="0.25">
      <c r="A174" s="2" t="s">
        <v>218</v>
      </c>
      <c r="B174" s="14"/>
      <c r="C174" s="86"/>
      <c r="E174" s="110"/>
      <c r="F174" s="111"/>
      <c r="G174" s="49"/>
      <c r="H174" s="49"/>
      <c r="I174" s="49"/>
      <c r="J174" s="49"/>
      <c r="K174" s="48"/>
      <c r="L174" s="48"/>
      <c r="M174" s="48"/>
      <c r="N174" s="48"/>
      <c r="O174" s="48"/>
    </row>
    <row r="175" spans="1:15" x14ac:dyDescent="0.25">
      <c r="A175" s="2" t="s">
        <v>183</v>
      </c>
      <c r="B175" s="2"/>
      <c r="C175" s="6">
        <v>4.1251899999999999</v>
      </c>
      <c r="D175" s="110"/>
      <c r="E175" s="110">
        <v>4.5535699999999997</v>
      </c>
      <c r="F175" s="110"/>
      <c r="G175" s="49"/>
      <c r="H175" s="49"/>
      <c r="I175" s="49"/>
    </row>
    <row r="176" spans="1:15" x14ac:dyDescent="0.25">
      <c r="A176" s="2" t="s">
        <v>355</v>
      </c>
      <c r="B176" s="110"/>
      <c r="C176" s="110"/>
      <c r="E176" s="110"/>
      <c r="F176" s="110"/>
      <c r="G176" s="1"/>
      <c r="H176" s="1"/>
      <c r="I176" s="1"/>
    </row>
    <row r="177" spans="1:15" x14ac:dyDescent="0.25">
      <c r="A177" s="2" t="s">
        <v>363</v>
      </c>
      <c r="B177" s="110"/>
      <c r="C177" s="110"/>
      <c r="D177" s="110"/>
      <c r="E177" s="110"/>
      <c r="F177" s="110"/>
      <c r="G177" s="1"/>
      <c r="H177" s="1"/>
      <c r="I177" s="1"/>
    </row>
    <row r="178" spans="1:15" x14ac:dyDescent="0.25">
      <c r="A178" s="2" t="s">
        <v>35</v>
      </c>
      <c r="B178" s="86">
        <v>1.7849999999999999</v>
      </c>
      <c r="C178" s="86"/>
      <c r="D178" s="86"/>
      <c r="E178" s="86"/>
      <c r="F178" s="86"/>
      <c r="G178" s="49"/>
      <c r="H178" s="49"/>
      <c r="I178" s="49"/>
    </row>
    <row r="179" spans="1:15" x14ac:dyDescent="0.25">
      <c r="A179" s="10" t="s">
        <v>9</v>
      </c>
      <c r="B179" s="110"/>
      <c r="C179" s="2"/>
      <c r="D179" s="2"/>
      <c r="E179" s="86"/>
      <c r="F179" s="86"/>
      <c r="G179" s="49"/>
      <c r="H179" s="49"/>
      <c r="I179" s="49"/>
      <c r="J179" s="49"/>
      <c r="K179" s="48"/>
      <c r="L179" s="48"/>
      <c r="M179" s="48"/>
      <c r="N179" s="48"/>
      <c r="O179" s="48"/>
    </row>
    <row r="180" spans="1:15" x14ac:dyDescent="0.25">
      <c r="A180" s="2" t="s">
        <v>111</v>
      </c>
      <c r="B180" s="86"/>
      <c r="C180" s="2"/>
      <c r="D180" s="86"/>
      <c r="E180" s="86"/>
      <c r="F180" s="86"/>
      <c r="G180" s="49"/>
      <c r="H180" s="49"/>
      <c r="I180" s="49"/>
      <c r="J180" s="49"/>
      <c r="K180" s="48"/>
      <c r="L180" s="48"/>
      <c r="M180" s="48"/>
      <c r="N180" s="48"/>
      <c r="O180" s="48"/>
    </row>
    <row r="181" spans="1:15" x14ac:dyDescent="0.25">
      <c r="A181" s="10" t="s">
        <v>354</v>
      </c>
      <c r="B181" s="86"/>
      <c r="C181" s="86">
        <v>8</v>
      </c>
      <c r="D181" s="86"/>
      <c r="E181" s="86">
        <v>2.9750000000000001</v>
      </c>
      <c r="F181" s="125"/>
      <c r="G181" s="64"/>
      <c r="H181" s="64"/>
      <c r="I181" s="64"/>
      <c r="J181" s="49"/>
      <c r="K181" s="48"/>
      <c r="L181" s="48"/>
      <c r="M181" s="48"/>
      <c r="N181" s="48"/>
      <c r="O181" s="48"/>
    </row>
    <row r="182" spans="1:15" x14ac:dyDescent="0.25">
      <c r="A182" s="2" t="s">
        <v>188</v>
      </c>
      <c r="B182" s="86"/>
      <c r="D182" s="86"/>
      <c r="E182" s="86"/>
      <c r="F182" s="86"/>
      <c r="G182" s="49"/>
      <c r="H182" s="49"/>
      <c r="I182" s="49"/>
    </row>
    <row r="183" spans="1:15" x14ac:dyDescent="0.25">
      <c r="A183" s="123" t="s">
        <v>182</v>
      </c>
      <c r="B183" s="110"/>
      <c r="C183" s="110"/>
      <c r="D183" s="110"/>
      <c r="E183" s="110"/>
      <c r="F183" s="110"/>
      <c r="G183" s="49"/>
      <c r="H183" s="49"/>
      <c r="I183" s="49"/>
    </row>
    <row r="184" spans="1:15" x14ac:dyDescent="0.25">
      <c r="A184" s="2" t="s">
        <v>211</v>
      </c>
      <c r="B184" s="2"/>
      <c r="D184" s="110"/>
      <c r="E184" s="110"/>
      <c r="F184" s="110"/>
      <c r="G184" s="49"/>
      <c r="H184" s="49"/>
      <c r="I184" s="49"/>
      <c r="J184" s="49"/>
      <c r="K184" s="48"/>
      <c r="L184" s="48"/>
      <c r="M184" s="48"/>
      <c r="N184" s="48"/>
      <c r="O184" s="48"/>
    </row>
    <row r="185" spans="1:15" hidden="1" x14ac:dyDescent="0.25">
      <c r="A185" s="2" t="s">
        <v>91</v>
      </c>
      <c r="B185" s="86"/>
      <c r="C185" s="86"/>
      <c r="D185" s="86"/>
      <c r="E185" s="86"/>
      <c r="F185" s="86"/>
      <c r="G185" s="49"/>
      <c r="H185" s="49"/>
      <c r="I185" s="49"/>
    </row>
    <row r="186" spans="1:15" hidden="1" x14ac:dyDescent="0.25">
      <c r="A186" s="112" t="s">
        <v>228</v>
      </c>
      <c r="B186" s="2"/>
      <c r="C186" s="110"/>
      <c r="D186" s="110"/>
      <c r="E186" s="110"/>
      <c r="F186" s="110"/>
      <c r="G186" s="49"/>
      <c r="H186" s="49"/>
      <c r="I186" s="49"/>
      <c r="J186" s="49"/>
      <c r="K186" s="48"/>
      <c r="L186" s="48"/>
      <c r="M186" s="48"/>
      <c r="N186" s="48"/>
      <c r="O186" s="48"/>
    </row>
    <row r="187" spans="1:15" hidden="1" x14ac:dyDescent="0.25">
      <c r="A187" s="2" t="s">
        <v>22</v>
      </c>
      <c r="B187" s="110"/>
      <c r="C187" s="110"/>
      <c r="D187" s="110"/>
      <c r="E187" s="110"/>
      <c r="F187" s="110"/>
      <c r="G187" s="49"/>
      <c r="H187" s="49"/>
      <c r="I187" s="49"/>
    </row>
    <row r="188" spans="1:15" x14ac:dyDescent="0.25">
      <c r="A188" s="10" t="s">
        <v>364</v>
      </c>
      <c r="B188" s="110"/>
      <c r="C188" s="110"/>
      <c r="D188" s="110">
        <v>1.88764</v>
      </c>
      <c r="E188" s="110"/>
      <c r="F188" s="110"/>
      <c r="G188" s="49"/>
      <c r="H188" s="49"/>
      <c r="I188" s="49"/>
      <c r="J188" s="49"/>
      <c r="K188" s="48"/>
      <c r="L188" s="48"/>
      <c r="M188" s="48"/>
      <c r="N188" s="48"/>
      <c r="O188" s="48"/>
    </row>
    <row r="189" spans="1:15" x14ac:dyDescent="0.25">
      <c r="A189" s="2" t="s">
        <v>209</v>
      </c>
      <c r="B189" s="110"/>
      <c r="C189" s="110">
        <v>2.6775000000000002</v>
      </c>
      <c r="D189" s="110">
        <v>0.5</v>
      </c>
      <c r="E189" s="110">
        <v>5.8849999999999998</v>
      </c>
      <c r="F189" s="110"/>
      <c r="G189" s="49"/>
      <c r="H189" s="49"/>
      <c r="I189" s="49"/>
    </row>
    <row r="190" spans="1:15" x14ac:dyDescent="0.25">
      <c r="A190" s="2" t="s">
        <v>208</v>
      </c>
      <c r="B190" s="110"/>
      <c r="C190" s="110"/>
      <c r="D190" s="110"/>
      <c r="E190" s="110"/>
      <c r="F190" s="110"/>
      <c r="G190" s="49"/>
      <c r="H190" s="49"/>
      <c r="I190" s="49"/>
    </row>
    <row r="191" spans="1:15" x14ac:dyDescent="0.25">
      <c r="A191" s="2" t="s">
        <v>223</v>
      </c>
      <c r="B191" s="110"/>
      <c r="C191" s="110"/>
      <c r="D191" s="110"/>
      <c r="E191" s="110"/>
      <c r="F191" s="110"/>
      <c r="G191" s="49"/>
      <c r="H191" s="49"/>
      <c r="I191" s="49"/>
    </row>
    <row r="192" spans="1:15" hidden="1" x14ac:dyDescent="0.25">
      <c r="A192" s="2" t="s">
        <v>225</v>
      </c>
      <c r="B192" s="110"/>
      <c r="C192" s="110"/>
      <c r="D192" s="110"/>
      <c r="E192" s="110"/>
      <c r="F192" s="110"/>
      <c r="G192" s="49"/>
      <c r="H192" s="49"/>
      <c r="I192" s="49"/>
    </row>
    <row r="193" spans="1:15" hidden="1" x14ac:dyDescent="0.25">
      <c r="A193" s="2" t="s">
        <v>227</v>
      </c>
      <c r="B193" s="86"/>
      <c r="C193" s="86"/>
      <c r="D193" s="86"/>
      <c r="E193" s="2"/>
      <c r="F193" s="2"/>
      <c r="G193" s="49"/>
      <c r="H193" s="49"/>
      <c r="I193" s="49"/>
    </row>
    <row r="194" spans="1:15" hidden="1" x14ac:dyDescent="0.25">
      <c r="A194" s="2" t="s">
        <v>190</v>
      </c>
      <c r="B194" s="2"/>
      <c r="C194" s="86"/>
      <c r="D194" s="2"/>
      <c r="E194" s="86"/>
      <c r="F194" s="86"/>
      <c r="G194" s="49"/>
      <c r="H194" s="49"/>
      <c r="I194" s="49"/>
    </row>
    <row r="195" spans="1:15" hidden="1" x14ac:dyDescent="0.25">
      <c r="A195" s="2" t="s">
        <v>202</v>
      </c>
      <c r="B195" s="86"/>
      <c r="C195" s="86"/>
      <c r="D195" s="86"/>
      <c r="E195" s="86"/>
      <c r="F195" s="86"/>
      <c r="G195" s="49"/>
      <c r="H195" s="49"/>
      <c r="I195" s="49"/>
    </row>
    <row r="196" spans="1:15" x14ac:dyDescent="0.25">
      <c r="A196" s="2" t="s">
        <v>210</v>
      </c>
      <c r="B196" s="2"/>
      <c r="C196" s="86">
        <v>27.594000000000001</v>
      </c>
      <c r="D196" s="86"/>
      <c r="E196" s="86"/>
      <c r="F196" s="86"/>
      <c r="G196" s="49"/>
      <c r="H196" s="49"/>
      <c r="I196" s="49"/>
    </row>
    <row r="197" spans="1:15" x14ac:dyDescent="0.25">
      <c r="A197" s="2" t="s">
        <v>215</v>
      </c>
      <c r="B197" s="86"/>
      <c r="C197" s="86"/>
      <c r="D197" s="86"/>
      <c r="E197" s="86"/>
      <c r="F197" s="86"/>
      <c r="G197" s="49"/>
      <c r="H197" s="49"/>
      <c r="I197" s="49"/>
    </row>
    <row r="198" spans="1:15" x14ac:dyDescent="0.25">
      <c r="A198" s="2" t="s">
        <v>62</v>
      </c>
      <c r="B198" s="86"/>
      <c r="C198" s="86"/>
      <c r="D198" s="86"/>
      <c r="E198" s="86"/>
      <c r="F198" s="86"/>
      <c r="G198" s="49"/>
      <c r="H198" s="49"/>
      <c r="I198" s="49"/>
      <c r="J198" s="49"/>
      <c r="K198" s="48"/>
      <c r="L198" s="48"/>
      <c r="M198" s="48"/>
      <c r="N198" s="48"/>
      <c r="O198" s="48"/>
    </row>
    <row r="199" spans="1:15" x14ac:dyDescent="0.25">
      <c r="A199" s="2" t="s">
        <v>80</v>
      </c>
      <c r="B199" s="86"/>
      <c r="C199" s="86"/>
      <c r="D199" s="86"/>
      <c r="E199" s="86"/>
      <c r="F199" s="86"/>
      <c r="G199" s="49"/>
      <c r="H199" s="49"/>
      <c r="I199" s="49"/>
      <c r="J199" s="49"/>
      <c r="K199" s="48"/>
      <c r="L199" s="48"/>
      <c r="M199" s="48"/>
      <c r="N199" s="48"/>
      <c r="O199" s="48"/>
    </row>
    <row r="200" spans="1:15" x14ac:dyDescent="0.25">
      <c r="A200" s="2" t="s">
        <v>43</v>
      </c>
      <c r="B200" s="86"/>
      <c r="C200" s="86"/>
      <c r="D200" s="86"/>
      <c r="E200" s="86"/>
      <c r="F200" s="86"/>
      <c r="G200" s="49"/>
      <c r="H200" s="49"/>
      <c r="I200" s="49"/>
      <c r="J200" s="49"/>
      <c r="K200" s="48"/>
      <c r="L200" s="48"/>
      <c r="M200" s="48"/>
      <c r="N200" s="48"/>
      <c r="O200" s="48"/>
    </row>
    <row r="201" spans="1:15" x14ac:dyDescent="0.25">
      <c r="A201" s="9" t="s">
        <v>8</v>
      </c>
      <c r="B201" s="2"/>
      <c r="C201" s="2"/>
      <c r="D201" s="86"/>
      <c r="E201" s="86"/>
      <c r="F201" s="86"/>
      <c r="G201" s="49"/>
      <c r="H201" s="49"/>
      <c r="I201" s="49"/>
    </row>
    <row r="202" spans="1:15" x14ac:dyDescent="0.25">
      <c r="A202" s="2" t="s">
        <v>25</v>
      </c>
      <c r="B202" s="2"/>
      <c r="C202" s="86"/>
      <c r="D202" s="86"/>
      <c r="E202" s="2"/>
      <c r="F202" s="2"/>
      <c r="G202" s="64"/>
      <c r="H202" s="64"/>
      <c r="I202" s="64"/>
      <c r="J202" s="49"/>
      <c r="K202" s="48"/>
      <c r="L202" s="48"/>
      <c r="M202" s="48"/>
      <c r="N202" s="48"/>
      <c r="O202" s="48"/>
    </row>
    <row r="203" spans="1:15" x14ac:dyDescent="0.25">
      <c r="A203" s="121" t="s">
        <v>348</v>
      </c>
      <c r="B203" s="86"/>
      <c r="C203" s="109"/>
      <c r="D203" s="86">
        <v>4.5801999999999996</v>
      </c>
      <c r="E203" s="109"/>
      <c r="F203" s="109"/>
      <c r="G203" s="49"/>
      <c r="H203" s="49"/>
      <c r="I203" s="49"/>
      <c r="J203" s="49"/>
      <c r="K203" s="48"/>
      <c r="L203" s="48"/>
      <c r="M203" s="48"/>
      <c r="N203" s="48"/>
      <c r="O203" s="48"/>
    </row>
    <row r="204" spans="1:15" hidden="1" x14ac:dyDescent="0.25">
      <c r="A204" s="2" t="s">
        <v>216</v>
      </c>
      <c r="B204" s="86"/>
      <c r="C204" s="86"/>
      <c r="D204" s="86"/>
      <c r="E204" s="86"/>
      <c r="F204" s="86"/>
      <c r="G204" s="49"/>
      <c r="H204" s="49"/>
      <c r="I204" s="49"/>
    </row>
    <row r="205" spans="1:15" hidden="1" x14ac:dyDescent="0.25">
      <c r="A205" s="2" t="s">
        <v>86</v>
      </c>
      <c r="B205" s="86"/>
      <c r="C205" s="86"/>
      <c r="D205" s="86"/>
      <c r="E205" s="86"/>
      <c r="F205" s="86"/>
      <c r="G205" s="49"/>
      <c r="H205" s="49"/>
      <c r="I205" s="49"/>
      <c r="J205" s="49"/>
      <c r="K205" s="48"/>
      <c r="L205" s="48"/>
      <c r="M205" s="48"/>
      <c r="N205" s="48"/>
      <c r="O205" s="48"/>
    </row>
    <row r="206" spans="1:15" hidden="1" x14ac:dyDescent="0.25">
      <c r="A206" s="2" t="s">
        <v>100</v>
      </c>
      <c r="B206" s="86"/>
      <c r="C206" s="86"/>
      <c r="D206" s="86"/>
      <c r="E206" s="86"/>
      <c r="F206" s="86"/>
      <c r="G206" s="49"/>
      <c r="H206" s="49"/>
      <c r="I206" s="49"/>
    </row>
    <row r="207" spans="1:15" hidden="1" x14ac:dyDescent="0.25">
      <c r="A207" s="2" t="s">
        <v>66</v>
      </c>
      <c r="B207" s="86"/>
      <c r="C207" s="86"/>
      <c r="D207" s="86"/>
      <c r="E207" s="86"/>
      <c r="F207" s="86"/>
      <c r="G207" s="49"/>
      <c r="H207" s="49"/>
      <c r="I207" s="49"/>
    </row>
    <row r="208" spans="1:15" hidden="1" x14ac:dyDescent="0.25">
      <c r="A208" s="2" t="s">
        <v>166</v>
      </c>
      <c r="B208" s="86"/>
      <c r="C208" s="86"/>
      <c r="D208" s="86"/>
      <c r="E208" s="86"/>
      <c r="F208" s="86"/>
      <c r="G208" s="49"/>
      <c r="H208" s="49"/>
      <c r="I208" s="49"/>
    </row>
    <row r="209" spans="1:15" hidden="1" x14ac:dyDescent="0.25">
      <c r="A209" s="2" t="s">
        <v>48</v>
      </c>
      <c r="B209" s="86"/>
      <c r="C209" s="86"/>
      <c r="D209" s="86"/>
      <c r="E209" s="2"/>
      <c r="F209" s="2"/>
      <c r="G209" s="49"/>
      <c r="H209" s="49"/>
      <c r="I209" s="49"/>
    </row>
    <row r="210" spans="1:15" hidden="1" x14ac:dyDescent="0.25">
      <c r="A210" s="2" t="s">
        <v>169</v>
      </c>
      <c r="B210" s="86"/>
      <c r="C210" s="86"/>
      <c r="D210" s="86"/>
      <c r="E210" s="86"/>
      <c r="F210" s="86"/>
      <c r="G210" s="49"/>
      <c r="H210" s="49"/>
      <c r="I210" s="49"/>
      <c r="J210" s="49"/>
      <c r="K210" s="48"/>
      <c r="L210" s="48"/>
      <c r="M210" s="48"/>
      <c r="N210" s="48"/>
      <c r="O210" s="48"/>
    </row>
    <row r="211" spans="1:15" hidden="1" x14ac:dyDescent="0.25">
      <c r="A211" s="2" t="s">
        <v>170</v>
      </c>
      <c r="B211" s="86"/>
      <c r="C211" s="86"/>
      <c r="D211" s="86"/>
      <c r="E211" s="86"/>
      <c r="F211" s="86"/>
      <c r="G211" s="49"/>
      <c r="H211" s="49"/>
      <c r="I211" s="49"/>
      <c r="J211" s="49"/>
      <c r="K211" s="48"/>
      <c r="L211" s="48"/>
      <c r="M211" s="48"/>
      <c r="N211" s="48"/>
      <c r="O211" s="48"/>
    </row>
    <row r="212" spans="1:15" hidden="1" x14ac:dyDescent="0.25">
      <c r="A212" s="2" t="s">
        <v>171</v>
      </c>
      <c r="B212" s="86"/>
      <c r="C212" s="86"/>
      <c r="D212" s="86"/>
      <c r="E212" s="86"/>
      <c r="F212" s="86"/>
      <c r="G212" s="49"/>
      <c r="H212" s="49"/>
      <c r="I212" s="49"/>
      <c r="J212" s="49"/>
      <c r="K212" s="48"/>
      <c r="L212" s="48"/>
      <c r="M212" s="48"/>
      <c r="N212" s="48"/>
      <c r="O212" s="48"/>
    </row>
    <row r="213" spans="1:15" hidden="1" x14ac:dyDescent="0.25">
      <c r="A213" s="2" t="s">
        <v>45</v>
      </c>
      <c r="B213" s="86"/>
      <c r="C213" s="86"/>
      <c r="D213" s="86"/>
      <c r="E213" s="86"/>
      <c r="F213" s="86"/>
      <c r="G213" s="49"/>
      <c r="H213" s="49"/>
      <c r="I213" s="49"/>
      <c r="J213" s="49"/>
      <c r="K213" s="48"/>
      <c r="L213" s="48"/>
      <c r="M213" s="48"/>
      <c r="N213" s="48"/>
      <c r="O213" s="48"/>
    </row>
    <row r="214" spans="1:15" hidden="1" x14ac:dyDescent="0.25">
      <c r="A214" s="2" t="s">
        <v>56</v>
      </c>
      <c r="B214" s="86"/>
      <c r="C214" s="86"/>
      <c r="D214" s="86"/>
      <c r="E214" s="86"/>
      <c r="F214" s="86"/>
      <c r="G214" s="49"/>
      <c r="H214" s="49"/>
      <c r="I214" s="49"/>
      <c r="J214" s="49"/>
      <c r="K214" s="48"/>
      <c r="L214" s="48"/>
      <c r="M214" s="48"/>
      <c r="N214" s="48"/>
      <c r="O214" s="48"/>
    </row>
    <row r="215" spans="1:15" hidden="1" x14ac:dyDescent="0.25">
      <c r="A215" s="2" t="s">
        <v>53</v>
      </c>
      <c r="B215" s="86"/>
      <c r="C215" s="86"/>
      <c r="D215" s="86"/>
      <c r="E215" s="86"/>
      <c r="F215" s="86"/>
      <c r="G215" s="64"/>
      <c r="H215" s="64"/>
      <c r="I215" s="64"/>
      <c r="J215" s="49"/>
      <c r="K215" s="48"/>
      <c r="L215" s="48"/>
      <c r="M215" s="48"/>
      <c r="N215" s="48"/>
      <c r="O215" s="48"/>
    </row>
    <row r="216" spans="1:15" hidden="1" x14ac:dyDescent="0.25">
      <c r="A216" s="2" t="s">
        <v>79</v>
      </c>
      <c r="B216" s="86"/>
      <c r="C216" s="86"/>
      <c r="D216" s="86"/>
      <c r="E216" s="86"/>
      <c r="F216" s="86"/>
      <c r="G216" s="49"/>
      <c r="H216" s="49"/>
      <c r="I216" s="49"/>
      <c r="J216" s="49"/>
      <c r="K216" s="48"/>
      <c r="L216" s="48"/>
      <c r="M216" s="48"/>
      <c r="N216" s="48"/>
      <c r="O216" s="48"/>
    </row>
    <row r="217" spans="1:15" s="1" customFormat="1" hidden="1" x14ac:dyDescent="0.25">
      <c r="A217" s="2" t="s">
        <v>110</v>
      </c>
      <c r="B217" s="86"/>
      <c r="C217" s="86"/>
      <c r="D217" s="86"/>
      <c r="E217" s="86"/>
      <c r="F217" s="86"/>
      <c r="G217" s="49"/>
      <c r="H217" s="49"/>
      <c r="I217" s="49"/>
      <c r="J217" s="49"/>
      <c r="K217" s="48"/>
      <c r="L217" s="48"/>
      <c r="M217" s="48"/>
      <c r="N217" s="48"/>
      <c r="O217" s="48"/>
    </row>
    <row r="218" spans="1:15" hidden="1" x14ac:dyDescent="0.25">
      <c r="A218" s="2" t="s">
        <v>85</v>
      </c>
      <c r="B218" s="86"/>
      <c r="C218" s="86"/>
      <c r="D218" s="86"/>
      <c r="E218" s="86"/>
      <c r="F218" s="86"/>
      <c r="G218" s="49"/>
      <c r="H218" s="49"/>
      <c r="I218" s="49"/>
      <c r="J218" s="49"/>
      <c r="K218" s="48"/>
      <c r="L218" s="48"/>
      <c r="M218" s="48"/>
      <c r="N218" s="48"/>
      <c r="O218" s="48"/>
    </row>
    <row r="219" spans="1:15" hidden="1" x14ac:dyDescent="0.25">
      <c r="A219" s="10" t="s">
        <v>14</v>
      </c>
      <c r="B219" s="86"/>
      <c r="C219" s="86"/>
      <c r="D219" s="86"/>
      <c r="E219" s="86"/>
      <c r="F219" s="86"/>
      <c r="G219" s="49"/>
      <c r="H219" s="49"/>
      <c r="I219" s="49"/>
    </row>
    <row r="220" spans="1:15" hidden="1" x14ac:dyDescent="0.25">
      <c r="A220" s="2" t="s">
        <v>38</v>
      </c>
      <c r="B220" s="86"/>
      <c r="C220" s="86"/>
      <c r="D220" s="86"/>
      <c r="E220" s="86"/>
      <c r="F220" s="86"/>
      <c r="G220" s="49"/>
      <c r="H220" s="49"/>
      <c r="I220" s="49"/>
    </row>
    <row r="221" spans="1:15" hidden="1" x14ac:dyDescent="0.25">
      <c r="A221" s="2" t="s">
        <v>63</v>
      </c>
      <c r="B221" s="86"/>
      <c r="C221" s="86"/>
      <c r="D221" s="86"/>
      <c r="E221" s="86"/>
      <c r="F221" s="86"/>
      <c r="G221" s="49"/>
      <c r="H221" s="49"/>
      <c r="I221" s="49"/>
    </row>
    <row r="222" spans="1:15" x14ac:dyDescent="0.25">
      <c r="A222" s="2" t="s">
        <v>77</v>
      </c>
      <c r="B222" s="86">
        <v>0.27583999999999997</v>
      </c>
      <c r="C222" s="86"/>
      <c r="D222" s="86"/>
      <c r="E222" s="86"/>
      <c r="F222" s="86"/>
      <c r="G222" s="49"/>
      <c r="H222" s="49"/>
      <c r="I222" s="49"/>
    </row>
    <row r="223" spans="1:15" x14ac:dyDescent="0.25">
      <c r="A223" s="10" t="s">
        <v>102</v>
      </c>
      <c r="B223" s="86"/>
      <c r="C223" s="86"/>
      <c r="D223" s="86"/>
      <c r="E223" s="86"/>
      <c r="F223" s="86"/>
      <c r="G223" s="49"/>
      <c r="H223" s="49"/>
      <c r="I223" s="49"/>
    </row>
    <row r="224" spans="1:15" x14ac:dyDescent="0.25">
      <c r="A224" s="10" t="s">
        <v>11</v>
      </c>
      <c r="B224" s="86"/>
      <c r="C224" s="86"/>
      <c r="D224" s="86"/>
      <c r="E224" s="86"/>
      <c r="F224" s="86"/>
      <c r="G224" s="49"/>
      <c r="H224" s="49"/>
      <c r="I224" s="49"/>
    </row>
    <row r="225" spans="1:15" x14ac:dyDescent="0.25">
      <c r="A225" s="10" t="s">
        <v>95</v>
      </c>
      <c r="B225" s="86"/>
      <c r="C225" s="86"/>
      <c r="D225" s="86"/>
      <c r="E225" s="86"/>
      <c r="F225" s="86"/>
      <c r="G225" s="49"/>
      <c r="H225" s="49"/>
      <c r="I225" s="49"/>
    </row>
    <row r="226" spans="1:15" x14ac:dyDescent="0.25">
      <c r="A226" s="2" t="s">
        <v>92</v>
      </c>
      <c r="B226" s="86"/>
      <c r="C226" s="86"/>
      <c r="D226" s="86"/>
      <c r="E226" s="86"/>
      <c r="F226" s="86"/>
      <c r="G226" s="49"/>
      <c r="H226" s="49"/>
      <c r="I226" s="49"/>
    </row>
    <row r="227" spans="1:15" x14ac:dyDescent="0.25">
      <c r="A227" s="2" t="s">
        <v>89</v>
      </c>
      <c r="B227" s="86"/>
      <c r="C227" s="86"/>
      <c r="D227" s="86"/>
      <c r="E227" s="86"/>
      <c r="F227" s="86"/>
      <c r="G227" s="49"/>
      <c r="H227" s="49"/>
      <c r="I227" s="49"/>
    </row>
    <row r="228" spans="1:15" x14ac:dyDescent="0.25">
      <c r="A228" s="2" t="s">
        <v>90</v>
      </c>
      <c r="B228" s="86"/>
      <c r="C228" s="86"/>
      <c r="D228" s="86"/>
      <c r="E228" s="86">
        <v>1.05</v>
      </c>
      <c r="F228" s="86"/>
      <c r="G228" s="49"/>
      <c r="H228" s="49"/>
      <c r="I228" s="49"/>
    </row>
    <row r="229" spans="1:15" x14ac:dyDescent="0.25">
      <c r="A229" s="2" t="s">
        <v>87</v>
      </c>
      <c r="B229" s="86"/>
      <c r="C229" s="86"/>
      <c r="D229" s="86"/>
      <c r="E229" s="86"/>
      <c r="F229" s="86"/>
      <c r="G229" s="49"/>
      <c r="H229" s="49"/>
      <c r="I229" s="49"/>
    </row>
    <row r="230" spans="1:15" x14ac:dyDescent="0.25">
      <c r="A230" s="2" t="s">
        <v>83</v>
      </c>
      <c r="B230" s="86"/>
      <c r="C230" s="86"/>
      <c r="D230" s="86"/>
      <c r="E230" s="86"/>
      <c r="F230" s="86"/>
      <c r="G230" s="49"/>
      <c r="H230" s="49"/>
      <c r="I230" s="49"/>
    </row>
    <row r="231" spans="1:15" x14ac:dyDescent="0.25">
      <c r="A231" s="2" t="s">
        <v>46</v>
      </c>
      <c r="B231" s="86"/>
      <c r="C231" s="86"/>
      <c r="D231" s="86"/>
      <c r="E231" s="86"/>
      <c r="F231" s="86"/>
      <c r="G231" s="49"/>
      <c r="H231" s="49"/>
      <c r="I231" s="49"/>
    </row>
    <row r="232" spans="1:15" x14ac:dyDescent="0.25">
      <c r="A232" s="2" t="s">
        <v>58</v>
      </c>
      <c r="B232" s="86">
        <v>0.47599999999999998</v>
      </c>
      <c r="C232" s="86">
        <v>2.7364099999999998</v>
      </c>
      <c r="D232" s="86"/>
      <c r="E232" s="86"/>
      <c r="F232" s="86"/>
      <c r="G232" s="49"/>
      <c r="H232" s="49"/>
      <c r="I232" s="49"/>
    </row>
    <row r="233" spans="1:15" x14ac:dyDescent="0.25">
      <c r="A233" s="2"/>
      <c r="B233" s="86"/>
      <c r="C233" s="86"/>
      <c r="D233" s="86"/>
      <c r="E233" s="86"/>
      <c r="F233" s="86"/>
      <c r="G233" s="49"/>
      <c r="H233" s="49"/>
      <c r="I233" s="49"/>
    </row>
    <row r="234" spans="1:15" x14ac:dyDescent="0.25">
      <c r="A234" s="2" t="s">
        <v>61</v>
      </c>
      <c r="B234" s="86"/>
      <c r="C234" s="86"/>
      <c r="D234" s="86"/>
      <c r="E234" s="86"/>
      <c r="F234" s="86"/>
      <c r="G234" s="49"/>
      <c r="H234" s="49"/>
      <c r="I234" s="49"/>
    </row>
    <row r="235" spans="1:15" x14ac:dyDescent="0.25">
      <c r="A235" s="2"/>
      <c r="B235" s="14"/>
      <c r="C235" s="14"/>
      <c r="D235" s="14"/>
      <c r="E235" s="14"/>
      <c r="F235" s="14"/>
      <c r="G235" s="63"/>
      <c r="H235" s="63"/>
      <c r="I235" s="63"/>
    </row>
    <row r="236" spans="1:15" ht="15.75" thickBot="1" x14ac:dyDescent="0.3">
      <c r="A236" s="7" t="s">
        <v>16</v>
      </c>
      <c r="B236" s="8">
        <f>SUM(B141:B235)</f>
        <v>28.192329999999998</v>
      </c>
      <c r="C236" s="8">
        <f>SUM(C141:C235)</f>
        <v>415.79313999999999</v>
      </c>
      <c r="D236" s="8">
        <f>SUM(D141:D235)</f>
        <v>29.580210000000001</v>
      </c>
      <c r="E236" s="8">
        <f>SUM(E141:E235)</f>
        <v>347.82188999999994</v>
      </c>
      <c r="F236" s="8">
        <f>SUM(F141:F235)</f>
        <v>0</v>
      </c>
      <c r="G236" s="49"/>
      <c r="H236" s="49"/>
      <c r="I236" s="49"/>
    </row>
    <row r="237" spans="1:15" ht="15.75" thickBot="1" x14ac:dyDescent="0.3">
      <c r="A237" s="2"/>
      <c r="B237" s="2"/>
      <c r="C237" s="2"/>
      <c r="D237" s="2"/>
      <c r="E237" s="2"/>
      <c r="F237" s="2"/>
      <c r="G237" s="1"/>
      <c r="J237" s="21" t="s">
        <v>116</v>
      </c>
      <c r="K237" s="23" t="s">
        <v>115</v>
      </c>
      <c r="L237" s="23">
        <v>2016</v>
      </c>
      <c r="M237" s="22">
        <v>2017</v>
      </c>
      <c r="N237" s="28" t="s">
        <v>154</v>
      </c>
      <c r="O237" s="29" t="s">
        <v>153</v>
      </c>
    </row>
    <row r="238" spans="1:15" x14ac:dyDescent="0.25">
      <c r="A238" s="11" t="s">
        <v>200</v>
      </c>
      <c r="B238" s="12">
        <f>B121+B139-B236</f>
        <v>1097.8076699999999</v>
      </c>
      <c r="C238" s="12">
        <f>C121+C139-C236</f>
        <v>978.8945299999998</v>
      </c>
      <c r="D238" s="12">
        <f>D121+D139-D236</f>
        <v>1137.4943199999998</v>
      </c>
      <c r="E238" s="12">
        <f>E121+E139-E236</f>
        <v>1060.4034299999998</v>
      </c>
      <c r="F238" s="12">
        <f>F121+F139-F236</f>
        <v>1060.4034299999998</v>
      </c>
      <c r="J238" s="19" t="s">
        <v>113</v>
      </c>
      <c r="K238" s="24"/>
      <c r="L238" s="24" t="e">
        <f>E167+#REF!</f>
        <v>#REF!</v>
      </c>
      <c r="M238" s="25" t="e">
        <f>SUM(B141:E166)+#REF!+SUM(B168:E184)</f>
        <v>#REF!</v>
      </c>
      <c r="N238" s="24"/>
      <c r="O238" s="24"/>
    </row>
    <row r="239" spans="1:15" ht="15.75" thickBot="1" x14ac:dyDescent="0.3">
      <c r="A239" s="4" t="s">
        <v>201</v>
      </c>
      <c r="B239" s="5">
        <f>B238/0.0042</f>
        <v>261382.77857142856</v>
      </c>
      <c r="C239" s="5">
        <f>C238/0.0042</f>
        <v>233070.12619047615</v>
      </c>
      <c r="D239" s="5">
        <f>D238/0.0042</f>
        <v>270831.98095238092</v>
      </c>
      <c r="E239" s="5">
        <f>E238/0.0042</f>
        <v>252477.00714285712</v>
      </c>
      <c r="F239" s="5">
        <f>F238/0.0042</f>
        <v>252477.00714285712</v>
      </c>
      <c r="J239" s="20" t="s">
        <v>114</v>
      </c>
      <c r="K239" s="26">
        <f>K238/4</f>
        <v>0</v>
      </c>
      <c r="L239" s="26" t="e">
        <f>L238/4</f>
        <v>#REF!</v>
      </c>
      <c r="M239" s="27" t="e">
        <f>M238/4</f>
        <v>#REF!</v>
      </c>
      <c r="N239" s="26" t="e">
        <f>SUM(K239:M239)</f>
        <v>#REF!</v>
      </c>
      <c r="O239" s="26" t="e">
        <f>SUM(L239:M239)</f>
        <v>#REF!</v>
      </c>
    </row>
    <row r="241" spans="3:6" x14ac:dyDescent="0.25">
      <c r="C241" s="92"/>
      <c r="E241" s="92"/>
      <c r="F241" s="92"/>
    </row>
  </sheetData>
  <mergeCells count="1">
    <mergeCell ref="B6:D6"/>
  </mergeCells>
  <pageMargins left="0.35433070866141736" right="0.27559055118110237" top="0.74803149606299213" bottom="0.74803149606299213" header="0.31496062992125984" footer="0.31496062992125984"/>
  <pageSetup paperSize="9" scale="67" orientation="portrait" horizontalDpi="4294967293" verticalDpi="4294967293" r:id="rId1"/>
  <rowBreaks count="1" manualBreakCount="1">
    <brk id="11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9</vt:i4>
      </vt:variant>
    </vt:vector>
  </HeadingPairs>
  <TitlesOfParts>
    <vt:vector size="31" baseType="lpstr"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Januarie 2025</vt:lpstr>
      <vt:lpstr>Februarie 2025</vt:lpstr>
      <vt:lpstr>Martie 2025</vt:lpstr>
      <vt:lpstr>Aprilie 2025</vt:lpstr>
      <vt:lpstr>Mai 2025</vt:lpstr>
      <vt:lpstr>Iunie 2025</vt:lpstr>
      <vt:lpstr>Iulie 2025</vt:lpstr>
      <vt:lpstr>August 2025</vt:lpstr>
      <vt:lpstr>Septembrie 2025</vt:lpstr>
      <vt:lpstr>Octombrie 2025</vt:lpstr>
      <vt:lpstr>Noiembrie 2025</vt:lpstr>
      <vt:lpstr>Decembrie 2025</vt:lpstr>
      <vt:lpstr>Total Buget 2025</vt:lpstr>
      <vt:lpstr>April!Print_Area</vt:lpstr>
      <vt:lpstr>August!Print_Area</vt:lpstr>
      <vt:lpstr>February!Print_Area</vt:lpstr>
      <vt:lpstr>July!Print_Area</vt:lpstr>
      <vt:lpstr>June!Print_Area</vt:lpstr>
      <vt:lpstr>March!Print_Area</vt:lpstr>
      <vt:lpstr>May!Print_Area</vt:lpstr>
      <vt:lpstr>October!Print_Area</vt:lpstr>
      <vt:lpstr>September!Print_Area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socobeanemil</dc:creator>
  <cp:lastModifiedBy>Mihaela Suteu</cp:lastModifiedBy>
  <cp:lastPrinted>2023-03-30T06:33:13Z</cp:lastPrinted>
  <dcterms:created xsi:type="dcterms:W3CDTF">2016-08-10T19:30:06Z</dcterms:created>
  <dcterms:modified xsi:type="dcterms:W3CDTF">2025-03-06T06:16:10Z</dcterms:modified>
</cp:coreProperties>
</file>